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hartEx1.xml" ContentType="application/vnd.ms-office.chartex+xml"/>
  <Override PartName="/xl/charts/colors6.xml" ContentType="application/vnd.ms-office.chartcolorstyle+xml"/>
  <Override PartName="/xl/charts/style6.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Sellest_töövihikust"/>
  <mc:AlternateContent xmlns:mc="http://schemas.openxmlformats.org/markup-compatibility/2006">
    <mc:Choice Requires="x15">
      <x15ac:absPath xmlns:x15ac="http://schemas.microsoft.com/office/spreadsheetml/2010/11/ac" url="Z:\Kliimaosakond\03 Organisatsioonide KHG jalajälg\Suunised ja arvutusmudel\Lõplik versioon 2022\2.11.2011 parandatud versioon\"/>
    </mc:Choice>
  </mc:AlternateContent>
  <bookViews>
    <workbookView xWindow="-120" yWindow="-120" windowWidth="29040" windowHeight="15840" tabRatio="942" activeTab="7"/>
  </bookViews>
  <sheets>
    <sheet name="Sissejuhatus" sheetId="1" r:id="rId1"/>
    <sheet name="Sisukord" sheetId="16" r:id="rId2"/>
    <sheet name="Organisatsioon" sheetId="3" r:id="rId3"/>
    <sheet name="M1-Energia" sheetId="5" r:id="rId4"/>
    <sheet name="M1-Sõidukid" sheetId="13" r:id="rId5"/>
    <sheet name="M1-Hajusheitmed" sheetId="7" r:id="rId6"/>
    <sheet name="M2-Ostetud elektrienergia" sheetId="8" r:id="rId7"/>
    <sheet name="M2-Ostetud soojusenergia" sheetId="39" r:id="rId8"/>
    <sheet name="M3-Transport" sheetId="6" r:id="rId9"/>
    <sheet name="M3-Tööreisid" sheetId="19" r:id="rId10"/>
    <sheet name="M3-Tööle-koju" sheetId="37" r:id="rId11"/>
    <sheet name="M3-Jäätmed" sheetId="17" r:id="rId12"/>
    <sheet name="M3-Ostetud tooted" sheetId="20" r:id="rId13"/>
    <sheet name="M3-Müüdud tooted" sheetId="38" r:id="rId14"/>
    <sheet name="M3-Finantsinvesteeringud" sheetId="21" r:id="rId15"/>
    <sheet name="M3-Sõidukikütused" sheetId="42" r:id="rId16"/>
    <sheet name="TULEMUSED" sheetId="4" r:id="rId17"/>
    <sheet name="HT-Energia (M1, M2)" sheetId="36" r:id="rId18"/>
    <sheet name="HT-Sõidukikütused (M1)" sheetId="34" r:id="rId19"/>
    <sheet name="HT-Hajusheitmed (M1)" sheetId="35" r:id="rId20"/>
    <sheet name="HT-Transport (M3)" sheetId="33" r:id="rId21"/>
    <sheet name="HT-Tööreisid (M3)" sheetId="32" r:id="rId22"/>
    <sheet name="HT-Tööle-koju (M3)" sheetId="31" r:id="rId23"/>
    <sheet name="HT-Jäätmed (M3)" sheetId="30" r:id="rId24"/>
    <sheet name="AR väärtused" sheetId="40" r:id="rId25"/>
    <sheet name="Eriheited" sheetId="41" r:id="rId26"/>
    <sheet name="Viited" sheetId="29" r:id="rId27"/>
    <sheet name="Dropdowns" sheetId="9" state="hidden" r:id="rId28"/>
    <sheet name="Conversions" sheetId="2" state="hidden" r:id="rId29"/>
    <sheet name="Data" sheetId="11" state="hidden" r:id="rId30"/>
  </sheets>
  <externalReferences>
    <externalReference r:id="rId31"/>
  </externalReferences>
  <definedNames>
    <definedName name="_xlnm._FilterDatabase" localSheetId="19" hidden="1">'HT-Hajusheitmed (M1)'!$B$3:$E$116</definedName>
    <definedName name="_xlchart.v1.0" hidden="1">(TULEMUSED!$AF$3:$AF$5,TULEMUSED!$AF$7:$AF$8,TULEMUSED!$AF$10:$AF$17)</definedName>
    <definedName name="_xlchart.v1.1" hidden="1">(TULEMUSED!$Y$3:$Z$5,TULEMUSED!$Y$7:$Z$8,TULEMUSED!$Y$10:$Z$17)</definedName>
    <definedName name="Aviation_Gasoline">Dropdowns!$P$52</definedName>
    <definedName name="Biodiesel">Dropdowns!$P$39:$P$42</definedName>
    <definedName name="CNG">Dropdowns!$P$44:$P$45</definedName>
    <definedName name="DEFRA_EC_BT">Dropdowns!$Q$14:$Q$27</definedName>
    <definedName name="Diesel_Fuel">Dropdowns!$P$31:$P$37</definedName>
    <definedName name="EC_BT_UK_DEFRA_Air">Dropdowns!$R$32:$R$45</definedName>
    <definedName name="EC_BT_UK_DEFRA_Air_RF">Dropdowns!$R$89:$R$102</definedName>
    <definedName name="EC_BT_UK_DEFRA_Bus">Dropdowns!$R$28</definedName>
    <definedName name="EC_BT_UK_DEFRA_Car">Dropdowns!$R$18:$R$27</definedName>
    <definedName name="EC_BT_UK_DEFRA_Ferry">Dropdowns!$R$46</definedName>
    <definedName name="EC_BT_UK_DEFRA_Rail">Dropdowns!$R$29:$R$31</definedName>
    <definedName name="EC_BT_US_EPA_Air">Dropdowns!$R$14:$R$16</definedName>
    <definedName name="EC_BT_US_EPA_Bus">Dropdowns!$R$13</definedName>
    <definedName name="EC_BT_US_EPA_Car">Dropdowns!$R$7:$R$9</definedName>
    <definedName name="EC_BT_US_EPA_Rail">Dropdowns!$R$10:$R$12</definedName>
    <definedName name="Elektrienergia_tootmine">Viited!$B$54:$B$54</definedName>
    <definedName name="Ethanol">Dropdowns!$P$47:$P$48</definedName>
    <definedName name="Fuel_Source">Dropdowns!$O$2:$O$8</definedName>
    <definedName name="Fuel_Source_Dropdown">Dropdowns!$O$13:$P$19</definedName>
    <definedName name="Hajusheitmed">Viited!$B$59:$B$59</definedName>
    <definedName name="Heat_Steam">Dropdowns!$S$16:$S$17</definedName>
    <definedName name="Jet_Fuel">Dropdowns!$P$50</definedName>
    <definedName name="Location_Based_EF">Dropdowns!$S$12:$S$13</definedName>
    <definedName name="Market_Based_EF">Dropdowns!$S$7:$S$9</definedName>
    <definedName name="Motor_Gasoline">Dropdowns!$P$22:$P$29</definedName>
    <definedName name="Mõjuala_1" localSheetId="2">Organisatsioon!$E$76:$E$77</definedName>
    <definedName name="Mõjuala_1">Viited!$B$47:$D$47</definedName>
    <definedName name="Mõjuala_2" localSheetId="2">Organisatsioon!$F$76:$F$77</definedName>
    <definedName name="Mõjuala_2">Viited!$B$54:$B$54</definedName>
    <definedName name="Mõjuala_3">Viited!$C$50:$D$50</definedName>
    <definedName name="Oma_sõidukite_kütused">Viited!$B$58:$B$58</definedName>
    <definedName name="_xlnm.Print_Area" localSheetId="19">'HT-Hajusheitmed (M1)'!$B$4:$D$116</definedName>
    <definedName name="_xlnm.Print_Area" localSheetId="0">Sissejuhatus!$B$1:$O$27</definedName>
    <definedName name="_xlnm.Print_Area" localSheetId="16">TULEMUSED!$B$1:$Q$97</definedName>
    <definedName name="Scope3_Dropdown">Dropdowns!$Q$2:$R$4</definedName>
    <definedName name="Soojusenergia_tootmine">Viited!$C$50:$D$50</definedName>
    <definedName name="Std_Units">[1]REF_Conversions!$A$8:$B$104</definedName>
    <definedName name="T_D_UK_DEFRA_Air">Dropdowns!$R$69:$R$72</definedName>
    <definedName name="T_D_UK_DEFRA_Air_RF">Dropdowns!$R$105:$R$108</definedName>
    <definedName name="T_D_UK_DEFRA_Car">Dropdowns!$R$57:$R$68</definedName>
    <definedName name="T_D_UK_DEFRA_Ferry">Dropdowns!$R$74:$R$85</definedName>
    <definedName name="T_D_UK_DEFRA_Rail">Dropdowns!$R$73</definedName>
    <definedName name="T_D_US_EPA_Air">Dropdowns!$R$54</definedName>
    <definedName name="T_D_US_EPA_Car">Dropdowns!$R$48:$R$50</definedName>
    <definedName name="T_D_US_EPA_Ferry">Dropdowns!$R$53</definedName>
    <definedName name="T_D_US_EPA_Rail">Dropdowns!$R$52</definedName>
    <definedName name="UK_DEFRA">Dropdowns!$D$3</definedName>
    <definedName name="US_EPA">Dropdowns!$D$2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43" i="38" l="1"/>
  <c r="Y44" i="38"/>
  <c r="Y45" i="38"/>
  <c r="L45" i="38"/>
  <c r="D95" i="4"/>
  <c r="D94" i="4"/>
  <c r="D92" i="4"/>
  <c r="D91" i="4"/>
  <c r="D90" i="4"/>
  <c r="D89" i="4"/>
  <c r="D88" i="4"/>
  <c r="L44" i="38"/>
  <c r="AL45" i="38"/>
  <c r="AL44" i="38"/>
  <c r="L44" i="20"/>
  <c r="L43" i="20"/>
  <c r="AD198" i="6"/>
  <c r="AD197" i="6"/>
  <c r="AD196" i="6"/>
  <c r="L198" i="6"/>
  <c r="L197" i="6"/>
  <c r="L196" i="6"/>
  <c r="AK49" i="5" l="1"/>
  <c r="AK48" i="5"/>
  <c r="AK47" i="5"/>
  <c r="X49" i="5"/>
  <c r="X48" i="5"/>
  <c r="X47" i="5"/>
  <c r="K49" i="5"/>
  <c r="K48" i="5"/>
  <c r="K47" i="5"/>
  <c r="C30" i="34"/>
  <c r="C11" i="34"/>
  <c r="Y10" i="4"/>
  <c r="Y7" i="4"/>
  <c r="Y3" i="4"/>
  <c r="Z4" i="4"/>
  <c r="Z5" i="4"/>
  <c r="Z6" i="4"/>
  <c r="Z7" i="4"/>
  <c r="Z8" i="4"/>
  <c r="Z9" i="4"/>
  <c r="Z10" i="4"/>
  <c r="Z11" i="4"/>
  <c r="Z12" i="4"/>
  <c r="Z13" i="4"/>
  <c r="Z14" i="4"/>
  <c r="Z15" i="4"/>
  <c r="Z16" i="4"/>
  <c r="Z17" i="4"/>
  <c r="Z18" i="4"/>
  <c r="Z3" i="4"/>
  <c r="G126" i="41"/>
  <c r="G134" i="41"/>
  <c r="U68" i="42"/>
  <c r="V68" i="42" s="1"/>
  <c r="E95" i="4" s="1"/>
  <c r="U67" i="42"/>
  <c r="V67" i="42" s="1"/>
  <c r="E72" i="4" s="1"/>
  <c r="U66" i="42"/>
  <c r="V66" i="42" s="1"/>
  <c r="E49" i="4" s="1"/>
  <c r="AF68" i="42"/>
  <c r="AG68" i="42" s="1"/>
  <c r="F95" i="4" s="1"/>
  <c r="AF67" i="42"/>
  <c r="AG67" i="42" s="1"/>
  <c r="F72" i="4" s="1"/>
  <c r="AF66" i="42"/>
  <c r="AG66" i="42" s="1"/>
  <c r="F49" i="4" s="1"/>
  <c r="AF61" i="42"/>
  <c r="AG61" i="42" s="1"/>
  <c r="U61" i="42"/>
  <c r="V61" i="42" s="1"/>
  <c r="J61" i="42"/>
  <c r="K61" i="42" s="1"/>
  <c r="AF60" i="42"/>
  <c r="AG60" i="42" s="1"/>
  <c r="U60" i="42"/>
  <c r="V60" i="42" s="1"/>
  <c r="J60" i="42"/>
  <c r="K60" i="42" s="1"/>
  <c r="AF59" i="42"/>
  <c r="AG59" i="42" s="1"/>
  <c r="U59" i="42"/>
  <c r="V59" i="42" s="1"/>
  <c r="J59" i="42"/>
  <c r="K59" i="42" s="1"/>
  <c r="AF58" i="42"/>
  <c r="AG58" i="42" s="1"/>
  <c r="U58" i="42"/>
  <c r="V58" i="42" s="1"/>
  <c r="J58" i="42"/>
  <c r="K58" i="42" s="1"/>
  <c r="AF57" i="42"/>
  <c r="AG57" i="42" s="1"/>
  <c r="U57" i="42"/>
  <c r="V57" i="42" s="1"/>
  <c r="J57" i="42"/>
  <c r="K57" i="42" s="1"/>
  <c r="AF56" i="42"/>
  <c r="AG56" i="42" s="1"/>
  <c r="U56" i="42"/>
  <c r="V56" i="42" s="1"/>
  <c r="J56" i="42"/>
  <c r="K56" i="42" s="1"/>
  <c r="AF55" i="42"/>
  <c r="AG55" i="42" s="1"/>
  <c r="U55" i="42"/>
  <c r="V55" i="42" s="1"/>
  <c r="J55" i="42"/>
  <c r="K55" i="42" s="1"/>
  <c r="AF54" i="42"/>
  <c r="AG54" i="42" s="1"/>
  <c r="U54" i="42"/>
  <c r="V54" i="42" s="1"/>
  <c r="J54" i="42"/>
  <c r="K54" i="42" s="1"/>
  <c r="AF53" i="42"/>
  <c r="U53" i="42"/>
  <c r="V53" i="42" s="1"/>
  <c r="J53" i="42"/>
  <c r="K53" i="42" s="1"/>
  <c r="AF52" i="42"/>
  <c r="AG52" i="42" s="1"/>
  <c r="U52" i="42"/>
  <c r="J52" i="42"/>
  <c r="K52" i="42" s="1"/>
  <c r="AF45" i="42"/>
  <c r="AG45" i="42" s="1"/>
  <c r="U45" i="42"/>
  <c r="V45" i="42" s="1"/>
  <c r="J45" i="42"/>
  <c r="K45" i="42" s="1"/>
  <c r="AF44" i="42"/>
  <c r="AG44" i="42" s="1"/>
  <c r="U44" i="42"/>
  <c r="V44" i="42" s="1"/>
  <c r="J44" i="42"/>
  <c r="K44" i="42" s="1"/>
  <c r="AF43" i="42"/>
  <c r="AG43" i="42" s="1"/>
  <c r="U43" i="42"/>
  <c r="V43" i="42" s="1"/>
  <c r="J43" i="42"/>
  <c r="K43" i="42" s="1"/>
  <c r="AF42" i="42"/>
  <c r="AG42" i="42" s="1"/>
  <c r="U42" i="42"/>
  <c r="V42" i="42" s="1"/>
  <c r="J42" i="42"/>
  <c r="K42" i="42" s="1"/>
  <c r="AF41" i="42"/>
  <c r="AG41" i="42" s="1"/>
  <c r="U41" i="42"/>
  <c r="V41" i="42" s="1"/>
  <c r="J41" i="42"/>
  <c r="K41" i="42" s="1"/>
  <c r="AF40" i="42"/>
  <c r="AG40" i="42" s="1"/>
  <c r="U40" i="42"/>
  <c r="V40" i="42" s="1"/>
  <c r="J40" i="42"/>
  <c r="K40" i="42" s="1"/>
  <c r="AF39" i="42"/>
  <c r="AG39" i="42" s="1"/>
  <c r="U39" i="42"/>
  <c r="V39" i="42" s="1"/>
  <c r="J39" i="42"/>
  <c r="K39" i="42" s="1"/>
  <c r="AF38" i="42"/>
  <c r="AG38" i="42" s="1"/>
  <c r="U38" i="42"/>
  <c r="V38" i="42" s="1"/>
  <c r="J38" i="42"/>
  <c r="AF37" i="42"/>
  <c r="AG37" i="42" s="1"/>
  <c r="U37" i="42"/>
  <c r="V37" i="42" s="1"/>
  <c r="J37" i="42"/>
  <c r="K37" i="42" s="1"/>
  <c r="AF36" i="42"/>
  <c r="U36" i="42"/>
  <c r="V36" i="42" s="1"/>
  <c r="J36" i="42"/>
  <c r="K36" i="42" s="1"/>
  <c r="AF29" i="42"/>
  <c r="AG29" i="42" s="1"/>
  <c r="U29" i="42"/>
  <c r="V29" i="42" s="1"/>
  <c r="J29" i="42"/>
  <c r="K29" i="42" s="1"/>
  <c r="AF28" i="42"/>
  <c r="AG28" i="42" s="1"/>
  <c r="U28" i="42"/>
  <c r="V28" i="42" s="1"/>
  <c r="J28" i="42"/>
  <c r="K28" i="42" s="1"/>
  <c r="AF27" i="42"/>
  <c r="AG27" i="42" s="1"/>
  <c r="U27" i="42"/>
  <c r="V27" i="42" s="1"/>
  <c r="J27" i="42"/>
  <c r="K27" i="42" s="1"/>
  <c r="AF26" i="42"/>
  <c r="AG26" i="42" s="1"/>
  <c r="U26" i="42"/>
  <c r="V26" i="42" s="1"/>
  <c r="J26" i="42"/>
  <c r="K26" i="42" s="1"/>
  <c r="AF25" i="42"/>
  <c r="AG25" i="42" s="1"/>
  <c r="U25" i="42"/>
  <c r="V25" i="42" s="1"/>
  <c r="J25" i="42"/>
  <c r="K25" i="42" s="1"/>
  <c r="AF24" i="42"/>
  <c r="AG24" i="42" s="1"/>
  <c r="U24" i="42"/>
  <c r="V24" i="42" s="1"/>
  <c r="J24" i="42"/>
  <c r="K24" i="42" s="1"/>
  <c r="AF23" i="42"/>
  <c r="AG23" i="42" s="1"/>
  <c r="U23" i="42"/>
  <c r="V23" i="42" s="1"/>
  <c r="J23" i="42"/>
  <c r="K23" i="42" s="1"/>
  <c r="AF22" i="42"/>
  <c r="AG22" i="42" s="1"/>
  <c r="U22" i="42"/>
  <c r="J22" i="42"/>
  <c r="K22" i="42" s="1"/>
  <c r="AF21" i="42"/>
  <c r="AG21" i="42" s="1"/>
  <c r="U21" i="42"/>
  <c r="V21" i="42" s="1"/>
  <c r="J21" i="42"/>
  <c r="J67" i="42" s="1"/>
  <c r="K67" i="42" s="1"/>
  <c r="D72" i="4" s="1"/>
  <c r="AF20" i="42"/>
  <c r="AG20" i="42" s="1"/>
  <c r="U20" i="42"/>
  <c r="V20" i="42" s="1"/>
  <c r="J20" i="42"/>
  <c r="J66" i="42" l="1"/>
  <c r="K66" i="42" s="1"/>
  <c r="D49" i="4" s="1"/>
  <c r="U30" i="42"/>
  <c r="AF46" i="42"/>
  <c r="AF62" i="42"/>
  <c r="U64" i="42"/>
  <c r="J64" i="42"/>
  <c r="J46" i="42"/>
  <c r="U62" i="42"/>
  <c r="K62" i="42"/>
  <c r="AG30" i="42"/>
  <c r="V46" i="42"/>
  <c r="V22" i="42"/>
  <c r="V64" i="42" s="1"/>
  <c r="E22" i="4" s="1"/>
  <c r="K38" i="42"/>
  <c r="K46" i="42" s="1"/>
  <c r="AF30" i="42"/>
  <c r="U46" i="42"/>
  <c r="J62" i="42"/>
  <c r="J68" i="42"/>
  <c r="K68" i="42" s="1"/>
  <c r="AG53" i="42"/>
  <c r="AG62" i="42" s="1"/>
  <c r="K20" i="42"/>
  <c r="K21" i="42"/>
  <c r="AG36" i="42"/>
  <c r="AG46" i="42" s="1"/>
  <c r="V52" i="42"/>
  <c r="V62" i="42" s="1"/>
  <c r="AF64" i="42"/>
  <c r="J30" i="42"/>
  <c r="V30" i="42" l="1"/>
  <c r="K30" i="42"/>
  <c r="K64" i="42"/>
  <c r="D22" i="4" s="1"/>
  <c r="AG64" i="42"/>
  <c r="F22" i="4" s="1"/>
  <c r="G96" i="4" l="1"/>
  <c r="H96" i="4"/>
  <c r="G50" i="4"/>
  <c r="H50" i="4"/>
  <c r="G73" i="4"/>
  <c r="H73" i="4"/>
  <c r="G23" i="4"/>
  <c r="H23" i="4"/>
  <c r="Y15" i="42"/>
  <c r="N15" i="42"/>
  <c r="C15" i="42"/>
  <c r="J72" i="37"/>
  <c r="AE11" i="4" l="1"/>
  <c r="AE10" i="4"/>
  <c r="AE13" i="4"/>
  <c r="AE14" i="4"/>
  <c r="AE15" i="4"/>
  <c r="AE16" i="4"/>
  <c r="AE18" i="4"/>
  <c r="AE12" i="4"/>
  <c r="AE17" i="4"/>
  <c r="AD11" i="4"/>
  <c r="AD10" i="4"/>
  <c r="AD13" i="4"/>
  <c r="AD14" i="4"/>
  <c r="AD15" i="4"/>
  <c r="AD17" i="4"/>
  <c r="AD16" i="4"/>
  <c r="AD18" i="4"/>
  <c r="AD12" i="4"/>
  <c r="C61" i="36"/>
  <c r="C60" i="36"/>
  <c r="R60" i="8" s="1"/>
  <c r="AE60" i="8"/>
  <c r="AE61" i="8"/>
  <c r="AE62" i="8"/>
  <c r="AE63" i="8"/>
  <c r="AE64" i="8"/>
  <c r="AE65" i="8"/>
  <c r="AE66" i="8"/>
  <c r="AE67" i="8"/>
  <c r="AE68" i="8"/>
  <c r="AE59" i="8"/>
  <c r="AC60" i="8"/>
  <c r="AC61" i="8"/>
  <c r="AC62" i="8"/>
  <c r="AC63" i="8"/>
  <c r="AC64" i="8"/>
  <c r="AC65" i="8"/>
  <c r="AC66" i="8"/>
  <c r="AC67" i="8"/>
  <c r="AC68" i="8"/>
  <c r="AC59" i="8"/>
  <c r="T60" i="8"/>
  <c r="T61" i="8"/>
  <c r="T62" i="8"/>
  <c r="T63" i="8"/>
  <c r="T64" i="8"/>
  <c r="T65" i="8"/>
  <c r="T66" i="8"/>
  <c r="T67" i="8"/>
  <c r="T68" i="8"/>
  <c r="T59" i="8"/>
  <c r="R61" i="8"/>
  <c r="R62" i="8"/>
  <c r="R63" i="8"/>
  <c r="R64" i="8"/>
  <c r="R65" i="8"/>
  <c r="R66" i="8"/>
  <c r="R67" i="8"/>
  <c r="R68" i="8"/>
  <c r="R59" i="8"/>
  <c r="I60" i="8"/>
  <c r="I61" i="8"/>
  <c r="I62" i="8"/>
  <c r="I63" i="8"/>
  <c r="I64" i="8"/>
  <c r="I65" i="8"/>
  <c r="I66" i="8"/>
  <c r="I67" i="8"/>
  <c r="I68" i="8"/>
  <c r="I59" i="8"/>
  <c r="G60" i="8"/>
  <c r="G61" i="8"/>
  <c r="G62" i="8"/>
  <c r="G63" i="8"/>
  <c r="G64" i="8"/>
  <c r="G65" i="8"/>
  <c r="G66" i="8"/>
  <c r="G67" i="8"/>
  <c r="G68" i="8"/>
  <c r="G59" i="8"/>
  <c r="G141" i="41" l="1"/>
  <c r="AE39" i="19"/>
  <c r="AE40" i="19"/>
  <c r="AE41" i="19"/>
  <c r="AE42" i="19"/>
  <c r="AE43" i="19"/>
  <c r="AE44" i="19"/>
  <c r="AE45" i="19"/>
  <c r="AE46" i="19"/>
  <c r="AE47" i="19"/>
  <c r="AE38" i="19"/>
  <c r="T39" i="19"/>
  <c r="T40" i="19"/>
  <c r="T41" i="19"/>
  <c r="T42" i="19"/>
  <c r="T43" i="19"/>
  <c r="T44" i="19"/>
  <c r="T45" i="19"/>
  <c r="T46" i="19"/>
  <c r="T47" i="19"/>
  <c r="T38" i="19"/>
  <c r="I39" i="19"/>
  <c r="I40" i="19"/>
  <c r="I41" i="19"/>
  <c r="I42" i="19"/>
  <c r="I43" i="19"/>
  <c r="I44" i="19"/>
  <c r="I45" i="19"/>
  <c r="I46" i="19"/>
  <c r="I47" i="19"/>
  <c r="I38" i="19"/>
  <c r="AH45" i="13"/>
  <c r="AH46" i="13"/>
  <c r="AH47" i="13"/>
  <c r="AH48" i="13"/>
  <c r="AH49" i="13"/>
  <c r="AH50" i="13"/>
  <c r="AH51" i="13"/>
  <c r="AH52" i="13"/>
  <c r="AH53" i="13"/>
  <c r="AH44" i="13"/>
  <c r="V45" i="13"/>
  <c r="V46" i="13"/>
  <c r="V47" i="13"/>
  <c r="V48" i="13"/>
  <c r="V49" i="13"/>
  <c r="V50" i="13"/>
  <c r="V51" i="13"/>
  <c r="V52" i="13"/>
  <c r="V53" i="13"/>
  <c r="V44" i="13"/>
  <c r="J45" i="13"/>
  <c r="J46" i="13"/>
  <c r="J47" i="13"/>
  <c r="J48" i="13"/>
  <c r="J49" i="13"/>
  <c r="J50" i="13"/>
  <c r="J51" i="13"/>
  <c r="J52" i="13"/>
  <c r="J53" i="13"/>
  <c r="J44" i="13"/>
  <c r="Y31" i="7" l="1"/>
  <c r="Y32" i="7"/>
  <c r="Y33" i="7"/>
  <c r="Y34" i="7"/>
  <c r="Y35" i="7"/>
  <c r="Y36" i="7"/>
  <c r="Y37" i="7"/>
  <c r="Y38" i="7"/>
  <c r="Y39" i="7"/>
  <c r="Y30" i="7"/>
  <c r="X31" i="7"/>
  <c r="X32" i="7"/>
  <c r="X33" i="7"/>
  <c r="X34" i="7"/>
  <c r="X35" i="7"/>
  <c r="X36" i="7"/>
  <c r="X37" i="7"/>
  <c r="X38" i="7"/>
  <c r="X39" i="7"/>
  <c r="X30" i="7"/>
  <c r="P31" i="7"/>
  <c r="P32" i="7"/>
  <c r="P33" i="7"/>
  <c r="P34" i="7"/>
  <c r="P35" i="7"/>
  <c r="P36" i="7"/>
  <c r="P37" i="7"/>
  <c r="P38" i="7"/>
  <c r="P39" i="7"/>
  <c r="P30" i="7"/>
  <c r="O31" i="7"/>
  <c r="O32" i="7"/>
  <c r="O33" i="7"/>
  <c r="O34" i="7"/>
  <c r="O35" i="7"/>
  <c r="O36" i="7"/>
  <c r="O37" i="7"/>
  <c r="O38" i="7"/>
  <c r="O39" i="7"/>
  <c r="O30" i="7"/>
  <c r="G31" i="7"/>
  <c r="G32" i="7"/>
  <c r="G33" i="7"/>
  <c r="G34" i="7"/>
  <c r="G35" i="7"/>
  <c r="G36" i="7"/>
  <c r="G37" i="7"/>
  <c r="G38" i="7"/>
  <c r="G39" i="7"/>
  <c r="G30" i="7"/>
  <c r="F31" i="7"/>
  <c r="F32" i="7"/>
  <c r="F33" i="7"/>
  <c r="F34" i="7"/>
  <c r="F35" i="7"/>
  <c r="F36" i="7"/>
  <c r="F37" i="7"/>
  <c r="F38" i="7"/>
  <c r="F39" i="7"/>
  <c r="F30" i="7"/>
  <c r="G329" i="41" l="1"/>
  <c r="G328" i="41"/>
  <c r="G325" i="41"/>
  <c r="G324" i="41"/>
  <c r="G323" i="41"/>
  <c r="G320" i="41"/>
  <c r="G319" i="41"/>
  <c r="G318" i="41"/>
  <c r="G317" i="41"/>
  <c r="G316" i="41"/>
  <c r="G313" i="41"/>
  <c r="G312" i="41"/>
  <c r="G311" i="41"/>
  <c r="G308" i="41"/>
  <c r="G307" i="41"/>
  <c r="G305" i="41"/>
  <c r="G300" i="41"/>
  <c r="G299" i="41"/>
  <c r="G298" i="41"/>
  <c r="G297" i="41"/>
  <c r="G296" i="41"/>
  <c r="G295" i="41"/>
  <c r="G261" i="41"/>
  <c r="G260" i="41"/>
  <c r="G257" i="41"/>
  <c r="G256" i="41"/>
  <c r="G255" i="41"/>
  <c r="G252" i="41"/>
  <c r="G251" i="41"/>
  <c r="G235" i="41" s="1"/>
  <c r="G250" i="41"/>
  <c r="G249" i="41"/>
  <c r="G248" i="41"/>
  <c r="G245" i="41"/>
  <c r="G244" i="41"/>
  <c r="G243" i="41"/>
  <c r="G240" i="41"/>
  <c r="G239" i="41"/>
  <c r="G237" i="41"/>
  <c r="C15" i="32" s="1"/>
  <c r="G232" i="41"/>
  <c r="G231" i="41"/>
  <c r="G230" i="41"/>
  <c r="G229" i="41"/>
  <c r="G228" i="41"/>
  <c r="G227" i="41"/>
  <c r="G157" i="41"/>
  <c r="G151" i="41"/>
  <c r="G149" i="41"/>
  <c r="G144" i="41"/>
  <c r="G143" i="41"/>
  <c r="G142" i="41"/>
  <c r="G136" i="41"/>
  <c r="G135" i="41"/>
  <c r="G133" i="41"/>
  <c r="G132" i="41"/>
  <c r="G131" i="41"/>
  <c r="G130" i="41"/>
  <c r="G140" i="41" s="1"/>
  <c r="G129" i="41"/>
  <c r="G128" i="41"/>
  <c r="G127" i="41"/>
  <c r="G137" i="41"/>
  <c r="G125" i="41"/>
  <c r="G124" i="41"/>
  <c r="G123" i="41"/>
  <c r="F100" i="41"/>
  <c r="F99" i="41"/>
  <c r="F98" i="41"/>
  <c r="F97" i="41"/>
  <c r="F96" i="41"/>
  <c r="F95" i="41"/>
  <c r="F94" i="41"/>
  <c r="F93" i="41"/>
  <c r="F92" i="41"/>
  <c r="F91" i="41"/>
  <c r="F90" i="41"/>
  <c r="F89" i="41"/>
  <c r="F88" i="41"/>
  <c r="F87" i="41"/>
  <c r="F86" i="41"/>
  <c r="F85" i="41"/>
  <c r="F84" i="41"/>
  <c r="F66" i="41"/>
  <c r="F64" i="41"/>
  <c r="F63" i="41"/>
  <c r="F62" i="41"/>
  <c r="F61" i="41"/>
  <c r="F60" i="41"/>
  <c r="F59" i="41"/>
  <c r="F56" i="41"/>
  <c r="F55" i="41"/>
  <c r="F49" i="41"/>
  <c r="F48" i="41"/>
  <c r="F44" i="41"/>
  <c r="F43" i="41"/>
  <c r="F42" i="41"/>
  <c r="F41" i="41"/>
  <c r="F40" i="41"/>
  <c r="F39" i="41"/>
  <c r="F37" i="41"/>
  <c r="F36" i="41"/>
  <c r="F34" i="41"/>
  <c r="F33" i="41"/>
  <c r="F31" i="41"/>
  <c r="F29" i="41"/>
  <c r="F28" i="41"/>
  <c r="F27" i="41"/>
  <c r="F26" i="41"/>
  <c r="F25" i="41"/>
  <c r="F24" i="41"/>
  <c r="F23" i="41"/>
  <c r="F22" i="41"/>
  <c r="F21" i="41"/>
  <c r="F19" i="41"/>
  <c r="F18" i="41"/>
  <c r="F16" i="41"/>
  <c r="F14" i="41"/>
  <c r="F13" i="41"/>
  <c r="F12" i="41"/>
  <c r="F10" i="41"/>
  <c r="F8" i="41"/>
  <c r="C12" i="32" l="1"/>
  <c r="G302" i="41"/>
  <c r="C17" i="31" s="1"/>
  <c r="G301" i="41"/>
  <c r="C15" i="31" s="1"/>
  <c r="G304" i="41"/>
  <c r="C18" i="31" s="1"/>
  <c r="G303" i="41"/>
  <c r="C16" i="31" s="1"/>
  <c r="G138" i="41"/>
  <c r="G233" i="41"/>
  <c r="G236" i="41"/>
  <c r="G234" i="41"/>
  <c r="G139" i="41"/>
  <c r="AJ36" i="5"/>
  <c r="AJ37" i="5"/>
  <c r="AJ38" i="5"/>
  <c r="AJ39" i="5"/>
  <c r="AJ40" i="5"/>
  <c r="AJ41" i="5"/>
  <c r="AJ42" i="5"/>
  <c r="AJ43" i="5"/>
  <c r="AJ44" i="5"/>
  <c r="AJ35" i="5"/>
  <c r="AG36" i="5"/>
  <c r="AG37" i="5"/>
  <c r="AG38" i="5"/>
  <c r="AG39" i="5"/>
  <c r="AG40" i="5"/>
  <c r="AG41" i="5"/>
  <c r="AG42" i="5"/>
  <c r="AG43" i="5"/>
  <c r="AG44" i="5"/>
  <c r="W36" i="5"/>
  <c r="W37" i="5"/>
  <c r="W38" i="5"/>
  <c r="W39" i="5"/>
  <c r="W40" i="5"/>
  <c r="W41" i="5"/>
  <c r="W42" i="5"/>
  <c r="W43" i="5"/>
  <c r="W44" i="5"/>
  <c r="T37" i="5"/>
  <c r="T38" i="5"/>
  <c r="T39" i="5"/>
  <c r="T40" i="5"/>
  <c r="T41" i="5"/>
  <c r="T42" i="5"/>
  <c r="T43" i="5"/>
  <c r="T44" i="5"/>
  <c r="W35" i="5"/>
  <c r="AE42" i="8"/>
  <c r="AE43" i="8"/>
  <c r="AE44" i="8"/>
  <c r="AE45" i="8"/>
  <c r="AE46" i="8"/>
  <c r="AE47" i="8"/>
  <c r="AE48" i="8"/>
  <c r="AE49" i="8"/>
  <c r="AE50" i="8"/>
  <c r="AE41" i="8"/>
  <c r="AC41" i="8"/>
  <c r="T42" i="8"/>
  <c r="T43" i="8"/>
  <c r="T44" i="8"/>
  <c r="T45" i="8"/>
  <c r="T46" i="8"/>
  <c r="T47" i="8"/>
  <c r="T48" i="8"/>
  <c r="T49" i="8"/>
  <c r="T50" i="8"/>
  <c r="T41" i="8"/>
  <c r="R42" i="8"/>
  <c r="R43" i="8"/>
  <c r="R44" i="8"/>
  <c r="R45" i="8"/>
  <c r="R46" i="8"/>
  <c r="R47" i="8"/>
  <c r="R48" i="8"/>
  <c r="R49" i="8"/>
  <c r="R50" i="8"/>
  <c r="I42" i="8"/>
  <c r="I43" i="8"/>
  <c r="I44" i="8"/>
  <c r="I45" i="8"/>
  <c r="I46" i="8"/>
  <c r="I47" i="8"/>
  <c r="I48" i="8"/>
  <c r="I49" i="8"/>
  <c r="I50" i="8"/>
  <c r="I41" i="8"/>
  <c r="G42" i="8"/>
  <c r="G43" i="8"/>
  <c r="G44" i="8"/>
  <c r="G45" i="8"/>
  <c r="G46" i="8"/>
  <c r="G47" i="8"/>
  <c r="G48" i="8"/>
  <c r="G49" i="8"/>
  <c r="G50" i="8"/>
  <c r="C13" i="32" l="1"/>
  <c r="C14" i="32"/>
  <c r="C11" i="32"/>
  <c r="F7" i="41"/>
  <c r="AF68" i="8" l="1"/>
  <c r="AG68" i="8" s="1"/>
  <c r="AF67" i="8"/>
  <c r="AG67" i="8" s="1"/>
  <c r="AF66" i="8"/>
  <c r="AG66" i="8" s="1"/>
  <c r="AF65" i="8"/>
  <c r="AG65" i="8" s="1"/>
  <c r="AF64" i="8"/>
  <c r="AG64" i="8" s="1"/>
  <c r="AF63" i="8"/>
  <c r="AG63" i="8" s="1"/>
  <c r="AF62" i="8"/>
  <c r="AG62" i="8" s="1"/>
  <c r="U68" i="8"/>
  <c r="V68" i="8" s="1"/>
  <c r="U67" i="8"/>
  <c r="V67" i="8" s="1"/>
  <c r="U66" i="8"/>
  <c r="V66" i="8" s="1"/>
  <c r="U65" i="8"/>
  <c r="V65" i="8" s="1"/>
  <c r="U64" i="8"/>
  <c r="V64" i="8" s="1"/>
  <c r="U63" i="8"/>
  <c r="V63" i="8" s="1"/>
  <c r="U62" i="8"/>
  <c r="V62" i="8" s="1"/>
  <c r="U61" i="8"/>
  <c r="J63" i="8"/>
  <c r="K63" i="8" s="1"/>
  <c r="J64" i="8"/>
  <c r="K64" i="8" s="1"/>
  <c r="J65" i="8"/>
  <c r="K65" i="8" s="1"/>
  <c r="J66" i="8"/>
  <c r="K66" i="8" s="1"/>
  <c r="J67" i="8"/>
  <c r="K67" i="8" s="1"/>
  <c r="J68" i="8"/>
  <c r="K68" i="8" s="1"/>
  <c r="I36" i="5"/>
  <c r="I37" i="5"/>
  <c r="I38" i="5"/>
  <c r="I39" i="5"/>
  <c r="I40" i="5"/>
  <c r="I41" i="5"/>
  <c r="I42" i="5"/>
  <c r="I43" i="5"/>
  <c r="I44" i="5"/>
  <c r="I35" i="5"/>
  <c r="V36" i="5"/>
  <c r="V37" i="5"/>
  <c r="V38" i="5"/>
  <c r="V39" i="5"/>
  <c r="V40" i="5"/>
  <c r="V41" i="5"/>
  <c r="V42" i="5"/>
  <c r="V43" i="5"/>
  <c r="V44" i="5"/>
  <c r="V35" i="5"/>
  <c r="AI36" i="5"/>
  <c r="AI37" i="5"/>
  <c r="AI38" i="5"/>
  <c r="AI39" i="5"/>
  <c r="AI40" i="5"/>
  <c r="AI41" i="5"/>
  <c r="AI42" i="5"/>
  <c r="AI43" i="5"/>
  <c r="AI44" i="5"/>
  <c r="AI35" i="5"/>
  <c r="F94" i="4"/>
  <c r="F92" i="4"/>
  <c r="E94" i="4"/>
  <c r="E92" i="4"/>
  <c r="F71" i="4"/>
  <c r="F69" i="4"/>
  <c r="E71" i="4"/>
  <c r="E69" i="4"/>
  <c r="F48" i="4"/>
  <c r="F47" i="4"/>
  <c r="F46" i="4"/>
  <c r="E48" i="4"/>
  <c r="E46" i="4"/>
  <c r="U75" i="8" l="1"/>
  <c r="V75" i="8" s="1"/>
  <c r="V61" i="8"/>
  <c r="AA37" i="13"/>
  <c r="O37" i="13"/>
  <c r="AH89" i="13"/>
  <c r="AE89" i="13"/>
  <c r="AI89" i="13" s="1"/>
  <c r="AJ89" i="13" s="1"/>
  <c r="AH88" i="13"/>
  <c r="AE88" i="13"/>
  <c r="AI88" i="13" s="1"/>
  <c r="AJ88" i="13" s="1"/>
  <c r="AH87" i="13"/>
  <c r="AE87" i="13"/>
  <c r="AI87" i="13" s="1"/>
  <c r="AJ87" i="13" s="1"/>
  <c r="AH86" i="13"/>
  <c r="AE86" i="13"/>
  <c r="AI86" i="13" s="1"/>
  <c r="AJ86" i="13" s="1"/>
  <c r="AH85" i="13"/>
  <c r="AE85" i="13"/>
  <c r="AI85" i="13" s="1"/>
  <c r="AJ85" i="13" s="1"/>
  <c r="AH84" i="13"/>
  <c r="AE84" i="13"/>
  <c r="AI84" i="13" s="1"/>
  <c r="AJ84" i="13" s="1"/>
  <c r="AH83" i="13"/>
  <c r="AE83" i="13"/>
  <c r="AI83" i="13" s="1"/>
  <c r="AJ83" i="13" s="1"/>
  <c r="AH82" i="13"/>
  <c r="AE82" i="13"/>
  <c r="AI82" i="13" s="1"/>
  <c r="AJ82" i="13" s="1"/>
  <c r="AH81" i="13"/>
  <c r="AE81" i="13"/>
  <c r="AI81" i="13" s="1"/>
  <c r="AJ81" i="13" s="1"/>
  <c r="AH80" i="13"/>
  <c r="AE80" i="13"/>
  <c r="AI80" i="13" s="1"/>
  <c r="AI96" i="13" s="1"/>
  <c r="AJ96" i="13" s="1"/>
  <c r="F82" i="4" s="1"/>
  <c r="AH71" i="13"/>
  <c r="AG71" i="13"/>
  <c r="AE71" i="13"/>
  <c r="AI71" i="13" s="1"/>
  <c r="AJ71" i="13" s="1"/>
  <c r="AH70" i="13"/>
  <c r="AG70" i="13"/>
  <c r="AE70" i="13"/>
  <c r="AI70" i="13" s="1"/>
  <c r="AJ70" i="13" s="1"/>
  <c r="AH69" i="13"/>
  <c r="AG69" i="13"/>
  <c r="AE69" i="13"/>
  <c r="AI69" i="13" s="1"/>
  <c r="AJ69" i="13" s="1"/>
  <c r="AH68" i="13"/>
  <c r="AG68" i="13"/>
  <c r="AE68" i="13"/>
  <c r="AI68" i="13" s="1"/>
  <c r="AJ68" i="13" s="1"/>
  <c r="AH67" i="13"/>
  <c r="AG67" i="13"/>
  <c r="AE67" i="13"/>
  <c r="AI67" i="13" s="1"/>
  <c r="AJ67" i="13" s="1"/>
  <c r="AH66" i="13"/>
  <c r="AG66" i="13"/>
  <c r="AE66" i="13"/>
  <c r="AI66" i="13" s="1"/>
  <c r="AJ66" i="13" s="1"/>
  <c r="AH65" i="13"/>
  <c r="AG65" i="13"/>
  <c r="AE65" i="13"/>
  <c r="AI65" i="13" s="1"/>
  <c r="AJ65" i="13" s="1"/>
  <c r="AH64" i="13"/>
  <c r="AG64" i="13"/>
  <c r="AE64" i="13"/>
  <c r="AI64" i="13" s="1"/>
  <c r="AJ64" i="13" s="1"/>
  <c r="AH63" i="13"/>
  <c r="AG63" i="13"/>
  <c r="AE63" i="13"/>
  <c r="AI63" i="13" s="1"/>
  <c r="AJ63" i="13" s="1"/>
  <c r="AH62" i="13"/>
  <c r="AG62" i="13"/>
  <c r="AE62" i="13"/>
  <c r="AI62" i="13" s="1"/>
  <c r="AG53" i="13"/>
  <c r="AE53" i="13"/>
  <c r="AI53" i="13" s="1"/>
  <c r="AJ53" i="13" s="1"/>
  <c r="AG52" i="13"/>
  <c r="AE52" i="13"/>
  <c r="AI52" i="13" s="1"/>
  <c r="AJ52" i="13" s="1"/>
  <c r="AG51" i="13"/>
  <c r="AE51" i="13"/>
  <c r="AI51" i="13" s="1"/>
  <c r="AJ51" i="13" s="1"/>
  <c r="AG50" i="13"/>
  <c r="AE50" i="13"/>
  <c r="AI50" i="13" s="1"/>
  <c r="AJ50" i="13" s="1"/>
  <c r="AG49" i="13"/>
  <c r="AE49" i="13"/>
  <c r="AI49" i="13" s="1"/>
  <c r="AJ49" i="13" s="1"/>
  <c r="AG48" i="13"/>
  <c r="AE48" i="13"/>
  <c r="AI48" i="13" s="1"/>
  <c r="AJ48" i="13" s="1"/>
  <c r="AG47" i="13"/>
  <c r="AE47" i="13"/>
  <c r="AI47" i="13" s="1"/>
  <c r="AJ47" i="13" s="1"/>
  <c r="AG46" i="13"/>
  <c r="AE46" i="13"/>
  <c r="AI46" i="13" s="1"/>
  <c r="AJ46" i="13" s="1"/>
  <c r="AG45" i="13"/>
  <c r="AE45" i="13"/>
  <c r="AI45" i="13" s="1"/>
  <c r="AJ45" i="13" s="1"/>
  <c r="AG44" i="13"/>
  <c r="AE44" i="13"/>
  <c r="AI44" i="13" s="1"/>
  <c r="V89" i="13"/>
  <c r="S89" i="13"/>
  <c r="W89" i="13" s="1"/>
  <c r="X89" i="13" s="1"/>
  <c r="V88" i="13"/>
  <c r="S88" i="13"/>
  <c r="W88" i="13" s="1"/>
  <c r="X88" i="13" s="1"/>
  <c r="V87" i="13"/>
  <c r="S87" i="13"/>
  <c r="W87" i="13" s="1"/>
  <c r="X87" i="13" s="1"/>
  <c r="V86" i="13"/>
  <c r="S86" i="13"/>
  <c r="W86" i="13" s="1"/>
  <c r="X86" i="13" s="1"/>
  <c r="V85" i="13"/>
  <c r="S85" i="13"/>
  <c r="W85" i="13" s="1"/>
  <c r="X85" i="13" s="1"/>
  <c r="V84" i="13"/>
  <c r="S84" i="13"/>
  <c r="W84" i="13" s="1"/>
  <c r="X84" i="13" s="1"/>
  <c r="V83" i="13"/>
  <c r="S83" i="13"/>
  <c r="W83" i="13" s="1"/>
  <c r="X83" i="13" s="1"/>
  <c r="V82" i="13"/>
  <c r="S82" i="13"/>
  <c r="W82" i="13" s="1"/>
  <c r="X82" i="13" s="1"/>
  <c r="V81" i="13"/>
  <c r="S81" i="13"/>
  <c r="W81" i="13" s="1"/>
  <c r="X81" i="13" s="1"/>
  <c r="V80" i="13"/>
  <c r="S80" i="13"/>
  <c r="W80" i="13" s="1"/>
  <c r="V71" i="13"/>
  <c r="U71" i="13"/>
  <c r="S71" i="13"/>
  <c r="W71" i="13" s="1"/>
  <c r="X71" i="13" s="1"/>
  <c r="V70" i="13"/>
  <c r="U70" i="13"/>
  <c r="S70" i="13"/>
  <c r="W70" i="13" s="1"/>
  <c r="X70" i="13" s="1"/>
  <c r="V69" i="13"/>
  <c r="U69" i="13"/>
  <c r="S69" i="13"/>
  <c r="W69" i="13" s="1"/>
  <c r="X69" i="13" s="1"/>
  <c r="V68" i="13"/>
  <c r="U68" i="13"/>
  <c r="S68" i="13"/>
  <c r="W68" i="13" s="1"/>
  <c r="X68" i="13" s="1"/>
  <c r="V67" i="13"/>
  <c r="U67" i="13"/>
  <c r="S67" i="13"/>
  <c r="W67" i="13" s="1"/>
  <c r="X67" i="13" s="1"/>
  <c r="V66" i="13"/>
  <c r="U66" i="13"/>
  <c r="S66" i="13"/>
  <c r="W66" i="13" s="1"/>
  <c r="X66" i="13" s="1"/>
  <c r="V65" i="13"/>
  <c r="U65" i="13"/>
  <c r="S65" i="13"/>
  <c r="W65" i="13" s="1"/>
  <c r="X65" i="13" s="1"/>
  <c r="V64" i="13"/>
  <c r="U64" i="13"/>
  <c r="S64" i="13"/>
  <c r="W64" i="13" s="1"/>
  <c r="X64" i="13" s="1"/>
  <c r="V63" i="13"/>
  <c r="U63" i="13"/>
  <c r="S63" i="13"/>
  <c r="W63" i="13" s="1"/>
  <c r="X63" i="13" s="1"/>
  <c r="V62" i="13"/>
  <c r="U62" i="13"/>
  <c r="S62" i="13"/>
  <c r="W62" i="13" s="1"/>
  <c r="U53" i="13"/>
  <c r="S53" i="13"/>
  <c r="W53" i="13" s="1"/>
  <c r="X53" i="13" s="1"/>
  <c r="U52" i="13"/>
  <c r="S52" i="13"/>
  <c r="W52" i="13" s="1"/>
  <c r="X52" i="13" s="1"/>
  <c r="U51" i="13"/>
  <c r="S51" i="13"/>
  <c r="W51" i="13" s="1"/>
  <c r="X51" i="13" s="1"/>
  <c r="U50" i="13"/>
  <c r="S50" i="13"/>
  <c r="W50" i="13" s="1"/>
  <c r="X50" i="13" s="1"/>
  <c r="U49" i="13"/>
  <c r="S49" i="13"/>
  <c r="W49" i="13" s="1"/>
  <c r="X49" i="13" s="1"/>
  <c r="U48" i="13"/>
  <c r="S48" i="13"/>
  <c r="W48" i="13" s="1"/>
  <c r="X48" i="13" s="1"/>
  <c r="U47" i="13"/>
  <c r="S47" i="13"/>
  <c r="W47" i="13" s="1"/>
  <c r="X47" i="13" s="1"/>
  <c r="U46" i="13"/>
  <c r="S46" i="13"/>
  <c r="W46" i="13" s="1"/>
  <c r="X46" i="13" s="1"/>
  <c r="U45" i="13"/>
  <c r="S45" i="13"/>
  <c r="W45" i="13" s="1"/>
  <c r="X45" i="13" s="1"/>
  <c r="U44" i="13"/>
  <c r="S44" i="13"/>
  <c r="W44" i="13" s="1"/>
  <c r="J81" i="13"/>
  <c r="J82" i="13"/>
  <c r="J83" i="13"/>
  <c r="J84" i="13"/>
  <c r="J85" i="13"/>
  <c r="J86" i="13"/>
  <c r="J87" i="13"/>
  <c r="J88" i="13"/>
  <c r="J89" i="13"/>
  <c r="J80" i="13"/>
  <c r="G81" i="13"/>
  <c r="G85" i="13"/>
  <c r="G86" i="13"/>
  <c r="G87" i="13"/>
  <c r="G88" i="13"/>
  <c r="G89" i="13"/>
  <c r="I63" i="13"/>
  <c r="I64" i="13"/>
  <c r="I65" i="13"/>
  <c r="I66" i="13"/>
  <c r="I67" i="13"/>
  <c r="I68" i="13"/>
  <c r="I69" i="13"/>
  <c r="I70" i="13"/>
  <c r="I71" i="13"/>
  <c r="I62" i="13"/>
  <c r="I45" i="13"/>
  <c r="I46" i="13"/>
  <c r="I47" i="13"/>
  <c r="I48" i="13"/>
  <c r="I49" i="13"/>
  <c r="I50" i="13"/>
  <c r="I51" i="13"/>
  <c r="I52" i="13"/>
  <c r="I53" i="13"/>
  <c r="I44" i="13"/>
  <c r="K49" i="6"/>
  <c r="AJ62" i="13" l="1"/>
  <c r="AJ72" i="13" s="1"/>
  <c r="AI95" i="13"/>
  <c r="AJ95" i="13" s="1"/>
  <c r="F59" i="4" s="1"/>
  <c r="AI72" i="13"/>
  <c r="AI94" i="13"/>
  <c r="AJ94" i="13" s="1"/>
  <c r="F36" i="4" s="1"/>
  <c r="AJ44" i="13"/>
  <c r="AI54" i="13"/>
  <c r="AI92" i="13"/>
  <c r="AJ80" i="13"/>
  <c r="AJ90" i="13" s="1"/>
  <c r="AI90" i="13"/>
  <c r="W54" i="13"/>
  <c r="W94" i="13"/>
  <c r="X94" i="13" s="1"/>
  <c r="E36" i="4" s="1"/>
  <c r="X44" i="13"/>
  <c r="W92" i="13"/>
  <c r="W95" i="13"/>
  <c r="X95" i="13" s="1"/>
  <c r="E59" i="4" s="1"/>
  <c r="W72" i="13"/>
  <c r="X62" i="13"/>
  <c r="X72" i="13" s="1"/>
  <c r="W96" i="13"/>
  <c r="X96" i="13" s="1"/>
  <c r="E82" i="4" s="1"/>
  <c r="W90" i="13"/>
  <c r="X80" i="13"/>
  <c r="X90" i="13" s="1"/>
  <c r="C6" i="31"/>
  <c r="C7" i="31"/>
  <c r="C8" i="31"/>
  <c r="E55" i="33"/>
  <c r="E61" i="33"/>
  <c r="E27" i="33"/>
  <c r="E33" i="33"/>
  <c r="E45" i="33"/>
  <c r="C15" i="33"/>
  <c r="C16" i="33"/>
  <c r="G306" i="41"/>
  <c r="C20" i="31" s="1"/>
  <c r="C10" i="31"/>
  <c r="C11" i="31"/>
  <c r="C12" i="31"/>
  <c r="C13" i="31"/>
  <c r="C14" i="31"/>
  <c r="C19" i="31"/>
  <c r="C21" i="31"/>
  <c r="C22" i="31"/>
  <c r="C25" i="31"/>
  <c r="C26" i="31"/>
  <c r="C27" i="31"/>
  <c r="C30" i="31"/>
  <c r="C32" i="31"/>
  <c r="C38" i="31"/>
  <c r="C39" i="31"/>
  <c r="C42" i="31"/>
  <c r="C43" i="31"/>
  <c r="C9" i="31"/>
  <c r="G291" i="41"/>
  <c r="C5" i="31" s="1"/>
  <c r="C22" i="32"/>
  <c r="C21" i="32"/>
  <c r="G238" i="41"/>
  <c r="C16" i="32" s="1"/>
  <c r="G161" i="41"/>
  <c r="C27" i="32"/>
  <c r="C28" i="32"/>
  <c r="G262" i="41"/>
  <c r="C40" i="32" s="1"/>
  <c r="C34" i="32"/>
  <c r="C35" i="32"/>
  <c r="C38" i="32"/>
  <c r="C39" i="32"/>
  <c r="C26" i="32"/>
  <c r="C23" i="32"/>
  <c r="C18" i="32"/>
  <c r="C17" i="32"/>
  <c r="C10" i="32"/>
  <c r="C9" i="32"/>
  <c r="C8" i="32"/>
  <c r="C7" i="32"/>
  <c r="C6" i="32"/>
  <c r="C5" i="32"/>
  <c r="E183" i="41"/>
  <c r="E39" i="33" s="1"/>
  <c r="E211" i="41"/>
  <c r="D172" i="41"/>
  <c r="C172" i="41" s="1"/>
  <c r="C28" i="33" s="1"/>
  <c r="C11" i="33"/>
  <c r="G152" i="41"/>
  <c r="C14" i="33" s="1"/>
  <c r="C60" i="34"/>
  <c r="C59" i="34"/>
  <c r="C58" i="34"/>
  <c r="C55" i="34"/>
  <c r="C54" i="34"/>
  <c r="G84" i="13" s="1"/>
  <c r="C53" i="34"/>
  <c r="C52" i="34"/>
  <c r="C51" i="34"/>
  <c r="C50" i="34"/>
  <c r="C48" i="34"/>
  <c r="C47" i="34"/>
  <c r="C42" i="34"/>
  <c r="G80" i="13" s="1"/>
  <c r="C44" i="34"/>
  <c r="C43" i="34"/>
  <c r="G150" i="41"/>
  <c r="C6" i="33" s="1"/>
  <c r="C46" i="34"/>
  <c r="G82" i="13" l="1"/>
  <c r="C34" i="31"/>
  <c r="G330" i="41"/>
  <c r="C44" i="31" s="1"/>
  <c r="C37" i="31"/>
  <c r="C33" i="32"/>
  <c r="C57" i="34"/>
  <c r="C31" i="31"/>
  <c r="C56" i="34"/>
  <c r="G83" i="13" s="1"/>
  <c r="E67" i="33"/>
  <c r="AF60" i="8"/>
  <c r="U60" i="8"/>
  <c r="J60" i="8"/>
  <c r="C17" i="33"/>
  <c r="G162" i="41"/>
  <c r="C18" i="33" s="1"/>
  <c r="D28" i="33"/>
  <c r="C29" i="32"/>
  <c r="C30" i="32"/>
  <c r="C33" i="31"/>
  <c r="AJ92" i="13"/>
  <c r="F9" i="4" s="1"/>
  <c r="AJ54" i="13"/>
  <c r="X92" i="13"/>
  <c r="E9" i="4" s="1"/>
  <c r="X54" i="13"/>
  <c r="E221" i="41"/>
  <c r="E77" i="33" s="1"/>
  <c r="C49" i="34"/>
  <c r="G158" i="41"/>
  <c r="C12" i="33" s="1"/>
  <c r="C45" i="34"/>
  <c r="C5" i="33"/>
  <c r="C13" i="33"/>
  <c r="C83" i="33" l="1"/>
  <c r="AF61" i="8"/>
  <c r="AG61" i="8" s="1"/>
  <c r="J62" i="8"/>
  <c r="K62" i="8" s="1"/>
  <c r="J61" i="8"/>
  <c r="K61" i="8" s="1"/>
  <c r="J59" i="8"/>
  <c r="K59" i="8" s="1"/>
  <c r="AF59" i="8"/>
  <c r="AF69" i="8" s="1"/>
  <c r="U59" i="8"/>
  <c r="U69" i="8" s="1"/>
  <c r="V60" i="8"/>
  <c r="AG60" i="8"/>
  <c r="AF74" i="8"/>
  <c r="AG74" i="8" s="1"/>
  <c r="K60" i="8"/>
  <c r="C117" i="41"/>
  <c r="D117" i="41"/>
  <c r="E117" i="41"/>
  <c r="C118" i="41"/>
  <c r="D118" i="41"/>
  <c r="E118" i="41"/>
  <c r="D116" i="41"/>
  <c r="E116" i="41"/>
  <c r="C116" i="41"/>
  <c r="C113" i="41"/>
  <c r="D113" i="41"/>
  <c r="E113" i="41"/>
  <c r="C114" i="41"/>
  <c r="D114" i="41"/>
  <c r="E114" i="41"/>
  <c r="C115" i="41"/>
  <c r="D115" i="41"/>
  <c r="E115" i="41"/>
  <c r="D112" i="41"/>
  <c r="E112" i="41"/>
  <c r="C112" i="41"/>
  <c r="C107" i="41"/>
  <c r="D107" i="41"/>
  <c r="E107" i="41"/>
  <c r="C108" i="41"/>
  <c r="D108" i="41"/>
  <c r="E108" i="41"/>
  <c r="C109" i="41"/>
  <c r="D109" i="41"/>
  <c r="E109" i="41"/>
  <c r="C110" i="41"/>
  <c r="D110" i="41"/>
  <c r="E110" i="41"/>
  <c r="C111" i="41"/>
  <c r="D111" i="41"/>
  <c r="E111" i="41"/>
  <c r="D106" i="41"/>
  <c r="E106" i="41"/>
  <c r="C106" i="41"/>
  <c r="F106" i="41" s="1"/>
  <c r="C103" i="41"/>
  <c r="D103" i="41"/>
  <c r="E103" i="41"/>
  <c r="C104" i="41"/>
  <c r="F104" i="41" s="1"/>
  <c r="D104" i="41"/>
  <c r="E104" i="41"/>
  <c r="C105" i="41"/>
  <c r="D105" i="41"/>
  <c r="E105" i="41"/>
  <c r="D102" i="41"/>
  <c r="E102" i="41"/>
  <c r="C102" i="41"/>
  <c r="F102" i="41" s="1"/>
  <c r="G94" i="41"/>
  <c r="G95" i="41"/>
  <c r="G96" i="41"/>
  <c r="G97" i="41"/>
  <c r="G98" i="41"/>
  <c r="G99" i="41"/>
  <c r="G100" i="41"/>
  <c r="G88" i="41"/>
  <c r="G89" i="41"/>
  <c r="G90" i="41"/>
  <c r="G91" i="41"/>
  <c r="G92" i="41"/>
  <c r="G93" i="41"/>
  <c r="G87" i="41"/>
  <c r="G86" i="41"/>
  <c r="G85" i="41"/>
  <c r="G84" i="41"/>
  <c r="D79" i="41"/>
  <c r="E79" i="41"/>
  <c r="C79" i="41"/>
  <c r="F79" i="41" s="1"/>
  <c r="G78" i="41"/>
  <c r="C15" i="34" s="1"/>
  <c r="D77" i="41"/>
  <c r="C77" i="41"/>
  <c r="E77" i="41"/>
  <c r="D76" i="41"/>
  <c r="C76" i="41"/>
  <c r="E76" i="41"/>
  <c r="D75" i="41"/>
  <c r="E75" i="41"/>
  <c r="C75" i="41"/>
  <c r="F110" i="41" l="1"/>
  <c r="G110" i="41" s="1"/>
  <c r="C29" i="34" s="1"/>
  <c r="F105" i="41"/>
  <c r="G105" i="41" s="1"/>
  <c r="C24" i="34" s="1"/>
  <c r="F107" i="41"/>
  <c r="G107" i="41" s="1"/>
  <c r="C26" i="34" s="1"/>
  <c r="F76" i="41"/>
  <c r="G76" i="41" s="1"/>
  <c r="C13" i="34" s="1"/>
  <c r="F112" i="41"/>
  <c r="G112" i="41" s="1"/>
  <c r="C31" i="34" s="1"/>
  <c r="F114" i="41"/>
  <c r="F77" i="41"/>
  <c r="G77" i="41" s="1"/>
  <c r="C14" i="34" s="1"/>
  <c r="F109" i="41"/>
  <c r="G109" i="41" s="1"/>
  <c r="C28" i="34" s="1"/>
  <c r="F118" i="41"/>
  <c r="G118" i="41" s="1"/>
  <c r="C37" i="34" s="1"/>
  <c r="F111" i="41"/>
  <c r="G111" i="41" s="1"/>
  <c r="F108" i="41"/>
  <c r="G108" i="41" s="1"/>
  <c r="C27" i="34" s="1"/>
  <c r="F116" i="41"/>
  <c r="G116" i="41" s="1"/>
  <c r="C35" i="34" s="1"/>
  <c r="F117" i="41"/>
  <c r="G117" i="41" s="1"/>
  <c r="C36" i="34" s="1"/>
  <c r="F113" i="41"/>
  <c r="G113" i="41" s="1"/>
  <c r="C32" i="34" s="1"/>
  <c r="F75" i="41"/>
  <c r="G75" i="41" s="1"/>
  <c r="C12" i="34" s="1"/>
  <c r="F103" i="41"/>
  <c r="G103" i="41" s="1"/>
  <c r="C22" i="34" s="1"/>
  <c r="F115" i="41"/>
  <c r="G115" i="41" s="1"/>
  <c r="C34" i="34" s="1"/>
  <c r="J69" i="8"/>
  <c r="V59" i="8"/>
  <c r="V69" i="8" s="1"/>
  <c r="AF73" i="8"/>
  <c r="AG73" i="8" s="1"/>
  <c r="AG59" i="8"/>
  <c r="AG69" i="8" s="1"/>
  <c r="K69" i="8"/>
  <c r="G102" i="41"/>
  <c r="C21" i="34" s="1"/>
  <c r="G104" i="41"/>
  <c r="C23" i="34" s="1"/>
  <c r="G79" i="41"/>
  <c r="C16" i="34" s="1"/>
  <c r="G106" i="41"/>
  <c r="C25" i="34" s="1"/>
  <c r="D74" i="41"/>
  <c r="E74" i="41"/>
  <c r="C74" i="41"/>
  <c r="D73" i="41"/>
  <c r="E73" i="41"/>
  <c r="C73" i="41"/>
  <c r="D72" i="41"/>
  <c r="E72" i="41"/>
  <c r="C72" i="41"/>
  <c r="G71" i="41"/>
  <c r="C8" i="34" s="1"/>
  <c r="G70" i="41"/>
  <c r="C7" i="34" s="1"/>
  <c r="D69" i="41"/>
  <c r="E69" i="41"/>
  <c r="C69" i="41"/>
  <c r="D68" i="41"/>
  <c r="E68" i="41"/>
  <c r="C68" i="41"/>
  <c r="F74" i="41" l="1"/>
  <c r="G74" i="41" s="1"/>
  <c r="F68" i="41"/>
  <c r="G68" i="41" s="1"/>
  <c r="C5" i="34" s="1"/>
  <c r="G44" i="13" s="1"/>
  <c r="F72" i="41"/>
  <c r="G72" i="41" s="1"/>
  <c r="C9" i="34" s="1"/>
  <c r="F69" i="41"/>
  <c r="G69" i="41" s="1"/>
  <c r="C6" i="34" s="1"/>
  <c r="F73" i="41"/>
  <c r="G73" i="41" s="1"/>
  <c r="C10" i="34" s="1"/>
  <c r="G114" i="41"/>
  <c r="C33" i="34" s="1"/>
  <c r="G337" i="41"/>
  <c r="G336" i="41"/>
  <c r="G280" i="41"/>
  <c r="G266" i="41"/>
  <c r="G269" i="41"/>
  <c r="G268" i="41"/>
  <c r="G335" i="41"/>
  <c r="G334" i="41"/>
  <c r="G66" i="41"/>
  <c r="G64" i="41"/>
  <c r="G63" i="41"/>
  <c r="G61" i="41"/>
  <c r="G62" i="41"/>
  <c r="G59" i="41"/>
  <c r="G60" i="41"/>
  <c r="G56" i="41"/>
  <c r="G55" i="41"/>
  <c r="G42" i="41"/>
  <c r="C41" i="36" s="1"/>
  <c r="E50" i="41"/>
  <c r="D50" i="41"/>
  <c r="C50" i="41"/>
  <c r="G49" i="41"/>
  <c r="C50" i="36" s="1"/>
  <c r="D47" i="41"/>
  <c r="E47" i="41"/>
  <c r="C47" i="41"/>
  <c r="G48" i="41"/>
  <c r="C49" i="36" s="1"/>
  <c r="G44" i="41"/>
  <c r="C43" i="36" s="1"/>
  <c r="G43" i="41"/>
  <c r="C42" i="36" s="1"/>
  <c r="G41" i="41"/>
  <c r="C40" i="36" s="1"/>
  <c r="G40" i="41"/>
  <c r="C39" i="36" s="1"/>
  <c r="D38" i="41"/>
  <c r="E38" i="41"/>
  <c r="C38" i="41"/>
  <c r="G39" i="41"/>
  <c r="C38" i="36" s="1"/>
  <c r="D35" i="41"/>
  <c r="E35" i="41"/>
  <c r="C35" i="41"/>
  <c r="G36" i="41"/>
  <c r="C35" i="36" s="1"/>
  <c r="G37" i="41"/>
  <c r="C36" i="36" s="1"/>
  <c r="G34" i="41"/>
  <c r="C33" i="36" s="1"/>
  <c r="D32" i="41"/>
  <c r="E32" i="41"/>
  <c r="C32" i="41"/>
  <c r="D30" i="41"/>
  <c r="E30" i="41"/>
  <c r="C30" i="41"/>
  <c r="G33" i="41"/>
  <c r="C32" i="36" s="1"/>
  <c r="G31" i="41"/>
  <c r="C30" i="36" s="1"/>
  <c r="G27" i="41"/>
  <c r="C25" i="36" s="1"/>
  <c r="G28" i="41"/>
  <c r="C26" i="36" s="1"/>
  <c r="G29" i="41"/>
  <c r="C27" i="36" s="1"/>
  <c r="G24" i="41"/>
  <c r="C28" i="36" s="1"/>
  <c r="G25" i="41"/>
  <c r="C23" i="36" s="1"/>
  <c r="G26" i="41"/>
  <c r="C24" i="36" s="1"/>
  <c r="G23" i="41"/>
  <c r="C22" i="36" s="1"/>
  <c r="G22" i="41"/>
  <c r="C21" i="36" s="1"/>
  <c r="G21" i="41"/>
  <c r="C20" i="36" s="1"/>
  <c r="E20" i="41"/>
  <c r="D20" i="41"/>
  <c r="C20" i="41"/>
  <c r="G19" i="41"/>
  <c r="C18" i="36" s="1"/>
  <c r="D17" i="41"/>
  <c r="E17" i="41"/>
  <c r="C17" i="41"/>
  <c r="G18" i="41"/>
  <c r="C17" i="36" s="1"/>
  <c r="E15" i="41"/>
  <c r="D15" i="41"/>
  <c r="C15" i="41"/>
  <c r="G16" i="41"/>
  <c r="C15" i="36" s="1"/>
  <c r="G13" i="41"/>
  <c r="C12" i="36" s="1"/>
  <c r="G14" i="41"/>
  <c r="C13" i="36" s="1"/>
  <c r="G12" i="41"/>
  <c r="C11" i="36" s="1"/>
  <c r="C69" i="36" s="1"/>
  <c r="E11" i="41"/>
  <c r="D11" i="41"/>
  <c r="C11" i="41"/>
  <c r="C6" i="41"/>
  <c r="C9" i="41"/>
  <c r="D9" i="41"/>
  <c r="E9" i="41"/>
  <c r="E6" i="41"/>
  <c r="D6" i="41"/>
  <c r="G8" i="41"/>
  <c r="C7" i="36" s="1"/>
  <c r="T36" i="5" s="1"/>
  <c r="G7" i="41"/>
  <c r="C6" i="36" s="1"/>
  <c r="D206" i="41"/>
  <c r="D190" i="41"/>
  <c r="D178" i="41"/>
  <c r="H32" i="7"/>
  <c r="F21" i="4"/>
  <c r="F20" i="4"/>
  <c r="F19" i="4"/>
  <c r="G35" i="5" l="1"/>
  <c r="C67" i="36"/>
  <c r="F35" i="41"/>
  <c r="G35" i="41" s="1"/>
  <c r="C34" i="36" s="1"/>
  <c r="F50" i="41"/>
  <c r="G50" i="41" s="1"/>
  <c r="C51" i="36" s="1"/>
  <c r="F9" i="41"/>
  <c r="G9" i="41" s="1"/>
  <c r="C8" i="36" s="1"/>
  <c r="F17" i="41"/>
  <c r="G17" i="41" s="1"/>
  <c r="C16" i="36" s="1"/>
  <c r="F30" i="41"/>
  <c r="G30" i="41" s="1"/>
  <c r="C29" i="36" s="1"/>
  <c r="F15" i="41"/>
  <c r="G15" i="41" s="1"/>
  <c r="C14" i="36" s="1"/>
  <c r="F20" i="41"/>
  <c r="G20" i="41" s="1"/>
  <c r="C19" i="36" s="1"/>
  <c r="F11" i="41"/>
  <c r="G11" i="41" s="1"/>
  <c r="C10" i="36" s="1"/>
  <c r="F32" i="41"/>
  <c r="G32" i="41" s="1"/>
  <c r="C31" i="36" s="1"/>
  <c r="F38" i="41"/>
  <c r="G38" i="41" s="1"/>
  <c r="C37" i="36" s="1"/>
  <c r="F47" i="41"/>
  <c r="G47" i="41" s="1"/>
  <c r="C48" i="36" s="1"/>
  <c r="E207" i="41"/>
  <c r="E63" i="33" s="1"/>
  <c r="F6" i="41"/>
  <c r="C56" i="36"/>
  <c r="AG35" i="5"/>
  <c r="G10" i="41"/>
  <c r="C9" i="36" s="1"/>
  <c r="C178" i="41"/>
  <c r="C34" i="33" s="1"/>
  <c r="D34" i="33"/>
  <c r="C190" i="41"/>
  <c r="C46" i="33" s="1"/>
  <c r="D46" i="33"/>
  <c r="C206" i="41"/>
  <c r="C62" i="33" s="1"/>
  <c r="D62" i="33"/>
  <c r="E167" i="41"/>
  <c r="E23" i="33" s="1"/>
  <c r="E203" i="41"/>
  <c r="E201" i="41"/>
  <c r="E197" i="41"/>
  <c r="E187" i="41"/>
  <c r="E169" i="41"/>
  <c r="E195" i="41"/>
  <c r="E185" i="41"/>
  <c r="G242" i="41"/>
  <c r="C20" i="32" s="1"/>
  <c r="E175" i="41"/>
  <c r="C176" i="41" s="1"/>
  <c r="C32" i="33" s="1"/>
  <c r="E173" i="41"/>
  <c r="E29" i="33" s="1"/>
  <c r="E209" i="41"/>
  <c r="E65" i="33" s="1"/>
  <c r="G241" i="41"/>
  <c r="C19" i="32" s="1"/>
  <c r="G309" i="41"/>
  <c r="C23" i="31" s="1"/>
  <c r="G310" i="41"/>
  <c r="C24" i="31" s="1"/>
  <c r="G254" i="41"/>
  <c r="C32" i="32" s="1"/>
  <c r="G259" i="41"/>
  <c r="C37" i="32" s="1"/>
  <c r="G327" i="41"/>
  <c r="C41" i="31" s="1"/>
  <c r="G155" i="41"/>
  <c r="G247" i="41"/>
  <c r="C25" i="32" s="1"/>
  <c r="G326" i="41"/>
  <c r="C40" i="31" s="1"/>
  <c r="G153" i="41"/>
  <c r="G253" i="41"/>
  <c r="C31" i="32" s="1"/>
  <c r="G315" i="41"/>
  <c r="C29" i="31" s="1"/>
  <c r="G322" i="41"/>
  <c r="C36" i="31" s="1"/>
  <c r="G258" i="41"/>
  <c r="C36" i="32" s="1"/>
  <c r="G321" i="41"/>
  <c r="G246" i="41"/>
  <c r="C24" i="32" s="1"/>
  <c r="G314" i="41"/>
  <c r="C28" i="31" s="1"/>
  <c r="D200" i="41"/>
  <c r="D56" i="33" s="1"/>
  <c r="D184" i="41"/>
  <c r="D40" i="33" s="1"/>
  <c r="E21" i="4"/>
  <c r="E20" i="4"/>
  <c r="E19" i="4"/>
  <c r="G87" i="4"/>
  <c r="H87" i="4"/>
  <c r="G84" i="4"/>
  <c r="H84" i="4"/>
  <c r="G64" i="4"/>
  <c r="H64" i="4"/>
  <c r="G61" i="4"/>
  <c r="H61" i="4"/>
  <c r="G41" i="4"/>
  <c r="H41" i="4"/>
  <c r="G38" i="4"/>
  <c r="H38" i="4"/>
  <c r="G14" i="4"/>
  <c r="H14" i="4"/>
  <c r="G11" i="4"/>
  <c r="H11" i="4"/>
  <c r="AE8" i="4" l="1"/>
  <c r="AE9" i="4"/>
  <c r="AE7" i="4"/>
  <c r="AD9" i="4"/>
  <c r="AD7" i="4"/>
  <c r="AD8" i="4"/>
  <c r="AE5" i="4"/>
  <c r="AE6" i="4"/>
  <c r="AE4" i="4"/>
  <c r="AE3" i="4"/>
  <c r="AD4" i="4"/>
  <c r="AD5" i="4"/>
  <c r="AD6" i="4"/>
  <c r="AD3" i="4"/>
  <c r="E51" i="33"/>
  <c r="D196" i="41"/>
  <c r="C196" i="41" s="1"/>
  <c r="C35" i="31"/>
  <c r="G41" i="8"/>
  <c r="J41" i="8" s="1"/>
  <c r="R41" i="8"/>
  <c r="D174" i="41"/>
  <c r="C174" i="41" s="1"/>
  <c r="C30" i="33" s="1"/>
  <c r="G6" i="41"/>
  <c r="C5" i="36" s="1"/>
  <c r="T35" i="5" s="1"/>
  <c r="H74" i="4"/>
  <c r="G74" i="4"/>
  <c r="C184" i="41"/>
  <c r="C40" i="33" s="1"/>
  <c r="H51" i="4"/>
  <c r="H97" i="4"/>
  <c r="G51" i="4"/>
  <c r="G97" i="4"/>
  <c r="H24" i="4"/>
  <c r="G24" i="4"/>
  <c r="D168" i="41"/>
  <c r="C168" i="41" s="1"/>
  <c r="C24" i="33" s="1"/>
  <c r="D186" i="41"/>
  <c r="E41" i="33"/>
  <c r="D188" i="41"/>
  <c r="E43" i="33"/>
  <c r="E181" i="41"/>
  <c r="E25" i="33"/>
  <c r="D198" i="41"/>
  <c r="E53" i="33"/>
  <c r="D202" i="41"/>
  <c r="E57" i="33"/>
  <c r="D176" i="41"/>
  <c r="D32" i="33" s="1"/>
  <c r="E31" i="33"/>
  <c r="D204" i="41"/>
  <c r="E59" i="33"/>
  <c r="D170" i="41"/>
  <c r="D26" i="33" s="1"/>
  <c r="E179" i="41"/>
  <c r="C7" i="33"/>
  <c r="G154" i="41"/>
  <c r="C8" i="33" s="1"/>
  <c r="C9" i="33"/>
  <c r="G156" i="41"/>
  <c r="C10" i="33" s="1"/>
  <c r="D212" i="41"/>
  <c r="C200" i="41"/>
  <c r="C11" i="30"/>
  <c r="C51" i="31"/>
  <c r="C50" i="31"/>
  <c r="C49" i="31"/>
  <c r="C48" i="31"/>
  <c r="C60" i="32"/>
  <c r="C47" i="32"/>
  <c r="C46" i="32"/>
  <c r="C44" i="32"/>
  <c r="D52" i="33" l="1"/>
  <c r="D30" i="33"/>
  <c r="D222" i="41"/>
  <c r="D78" i="33" s="1"/>
  <c r="D68" i="33"/>
  <c r="C212" i="41"/>
  <c r="C56" i="33"/>
  <c r="D182" i="41"/>
  <c r="D38" i="33" s="1"/>
  <c r="D180" i="41"/>
  <c r="D36" i="33" s="1"/>
  <c r="C170" i="41"/>
  <c r="C26" i="33" s="1"/>
  <c r="D24" i="33"/>
  <c r="E219" i="41"/>
  <c r="E75" i="33" s="1"/>
  <c r="E37" i="33"/>
  <c r="D54" i="33"/>
  <c r="C198" i="41"/>
  <c r="D210" i="41"/>
  <c r="D66" i="33" s="1"/>
  <c r="E217" i="41"/>
  <c r="E73" i="33" s="1"/>
  <c r="E35" i="33"/>
  <c r="C188" i="41"/>
  <c r="C44" i="33" s="1"/>
  <c r="D44" i="33"/>
  <c r="C204" i="41"/>
  <c r="C60" i="33" s="1"/>
  <c r="D60" i="33"/>
  <c r="C202" i="41"/>
  <c r="C58" i="33" s="1"/>
  <c r="D58" i="33"/>
  <c r="C186" i="41"/>
  <c r="D42" i="33"/>
  <c r="D208" i="41"/>
  <c r="C208" i="41" l="1"/>
  <c r="C222" i="41"/>
  <c r="C78" i="33" s="1"/>
  <c r="C68" i="33"/>
  <c r="D220" i="41"/>
  <c r="D76" i="33" s="1"/>
  <c r="C210" i="41"/>
  <c r="C66" i="33" s="1"/>
  <c r="C54" i="33"/>
  <c r="D218" i="41"/>
  <c r="D74" i="33" s="1"/>
  <c r="D64" i="33"/>
  <c r="C52" i="33"/>
  <c r="C42" i="33"/>
  <c r="C180" i="41"/>
  <c r="C36" i="33" s="1"/>
  <c r="C182" i="41"/>
  <c r="E6" i="30"/>
  <c r="E7" i="30"/>
  <c r="E8" i="30"/>
  <c r="E5" i="30"/>
  <c r="C6" i="30"/>
  <c r="C7" i="30"/>
  <c r="C8" i="30"/>
  <c r="C5" i="30"/>
  <c r="C218" i="41" l="1"/>
  <c r="C74" i="33" s="1"/>
  <c r="C64" i="33"/>
  <c r="C220" i="41"/>
  <c r="C76" i="33" s="1"/>
  <c r="C38" i="33"/>
  <c r="C66" i="36"/>
  <c r="S24" i="21"/>
  <c r="AU53" i="21"/>
  <c r="AV53" i="21" s="1"/>
  <c r="AU54" i="21"/>
  <c r="AV54" i="21" s="1"/>
  <c r="AU55" i="21"/>
  <c r="AV55" i="21" s="1"/>
  <c r="AE53" i="21"/>
  <c r="AF53" i="21" s="1"/>
  <c r="AE54" i="21"/>
  <c r="AF54" i="21" s="1"/>
  <c r="AE55" i="21"/>
  <c r="AF55" i="21" s="1"/>
  <c r="O55" i="21"/>
  <c r="O53" i="21"/>
  <c r="O54" i="21"/>
  <c r="AI24" i="21"/>
  <c r="AU51" i="21"/>
  <c r="AV51" i="21"/>
  <c r="AE51" i="21"/>
  <c r="AF51" i="21"/>
  <c r="P17" i="38"/>
  <c r="AC17" i="38"/>
  <c r="AL43" i="38"/>
  <c r="AM43" i="38" s="1"/>
  <c r="AM44" i="38"/>
  <c r="F70" i="4" s="1"/>
  <c r="AM45" i="38"/>
  <c r="F93" i="4" s="1"/>
  <c r="AL22" i="38"/>
  <c r="AM22" i="38" s="1"/>
  <c r="AL23" i="38"/>
  <c r="AM23" i="38" s="1"/>
  <c r="AL24" i="38"/>
  <c r="AM24" i="38" s="1"/>
  <c r="AL25" i="38"/>
  <c r="AM25" i="38"/>
  <c r="AL26" i="38"/>
  <c r="AM26" i="38" s="1"/>
  <c r="AL27" i="38"/>
  <c r="AM27" i="38"/>
  <c r="AL28" i="38"/>
  <c r="AM28" i="38" s="1"/>
  <c r="AL29" i="38"/>
  <c r="AM29" i="38" s="1"/>
  <c r="AL30" i="38"/>
  <c r="AM30" i="38" s="1"/>
  <c r="AL31" i="38"/>
  <c r="AM31" i="38" s="1"/>
  <c r="AL32" i="38"/>
  <c r="AM32" i="38" s="1"/>
  <c r="AL33" i="38"/>
  <c r="AM33" i="38"/>
  <c r="AL34" i="38"/>
  <c r="AM34" i="38" s="1"/>
  <c r="AL35" i="38"/>
  <c r="AM35" i="38" s="1"/>
  <c r="AL36" i="38"/>
  <c r="AM36" i="38" s="1"/>
  <c r="AL37" i="38"/>
  <c r="AM37" i="38" s="1"/>
  <c r="AL38" i="38"/>
  <c r="AM38" i="38" s="1"/>
  <c r="AL39" i="38"/>
  <c r="AM39" i="38" s="1"/>
  <c r="AL40" i="38"/>
  <c r="AM40" i="38" s="1"/>
  <c r="Z43" i="38"/>
  <c r="E47" i="4" s="1"/>
  <c r="Z44" i="38"/>
  <c r="E70" i="4" s="1"/>
  <c r="Z45" i="38"/>
  <c r="E93" i="4" s="1"/>
  <c r="Y22" i="38"/>
  <c r="Z22" i="38"/>
  <c r="Y23" i="38"/>
  <c r="Z23" i="38" s="1"/>
  <c r="Y24" i="38"/>
  <c r="Z24" i="38" s="1"/>
  <c r="Y25" i="38"/>
  <c r="Z25" i="38" s="1"/>
  <c r="Y26" i="38"/>
  <c r="Z26" i="38" s="1"/>
  <c r="Y27" i="38"/>
  <c r="Z27" i="38" s="1"/>
  <c r="Y28" i="38"/>
  <c r="Z28" i="38" s="1"/>
  <c r="Y29" i="38"/>
  <c r="Z29" i="38" s="1"/>
  <c r="Y30" i="38"/>
  <c r="Z30" i="38"/>
  <c r="Y31" i="38"/>
  <c r="Z31" i="38" s="1"/>
  <c r="Y32" i="38"/>
  <c r="Z32" i="38"/>
  <c r="Y33" i="38"/>
  <c r="Z33" i="38" s="1"/>
  <c r="Y34" i="38"/>
  <c r="Z34" i="38" s="1"/>
  <c r="Y35" i="38"/>
  <c r="Z35" i="38" s="1"/>
  <c r="Y36" i="38"/>
  <c r="Z36" i="38" s="1"/>
  <c r="Y37" i="38"/>
  <c r="Z37" i="38" s="1"/>
  <c r="Y38" i="38"/>
  <c r="Z38" i="38"/>
  <c r="Y39" i="38"/>
  <c r="Z39" i="38" s="1"/>
  <c r="Y40" i="38"/>
  <c r="Z40" i="38" s="1"/>
  <c r="AL43" i="20"/>
  <c r="AM43" i="20" s="1"/>
  <c r="P17" i="20"/>
  <c r="AC17" i="20"/>
  <c r="AL44" i="20"/>
  <c r="AM44" i="20"/>
  <c r="AL45" i="20"/>
  <c r="AM45" i="20" s="1"/>
  <c r="AL22" i="20"/>
  <c r="AM22" i="20" s="1"/>
  <c r="AL23" i="20"/>
  <c r="AM23" i="20"/>
  <c r="AL24" i="20"/>
  <c r="AM24" i="20"/>
  <c r="AL25" i="20"/>
  <c r="AM25" i="20" s="1"/>
  <c r="AL26" i="20"/>
  <c r="AM26" i="20" s="1"/>
  <c r="AL27" i="20"/>
  <c r="AM27" i="20"/>
  <c r="AL28" i="20"/>
  <c r="AM28" i="20"/>
  <c r="AL29" i="20"/>
  <c r="AM29" i="20" s="1"/>
  <c r="AL30" i="20"/>
  <c r="AM30" i="20" s="1"/>
  <c r="AL31" i="20"/>
  <c r="AM31" i="20"/>
  <c r="AL32" i="20"/>
  <c r="AM32" i="20"/>
  <c r="AL33" i="20"/>
  <c r="AM33" i="20" s="1"/>
  <c r="AL34" i="20"/>
  <c r="AM34" i="20" s="1"/>
  <c r="AL35" i="20"/>
  <c r="AM35" i="20"/>
  <c r="AL36" i="20"/>
  <c r="AM36" i="20"/>
  <c r="AL37" i="20"/>
  <c r="AM37" i="20" s="1"/>
  <c r="AL38" i="20"/>
  <c r="AM38" i="20" s="1"/>
  <c r="AL39" i="20"/>
  <c r="AM39" i="20"/>
  <c r="AL40" i="20"/>
  <c r="AM40" i="20"/>
  <c r="AL41" i="20"/>
  <c r="Y43" i="20"/>
  <c r="Z43" i="20" s="1"/>
  <c r="Y44" i="20"/>
  <c r="Z44" i="20"/>
  <c r="Y45" i="20"/>
  <c r="Z45" i="20"/>
  <c r="Y22" i="20"/>
  <c r="Z22" i="20" s="1"/>
  <c r="Y23" i="20"/>
  <c r="Z23" i="20" s="1"/>
  <c r="Y24" i="20"/>
  <c r="Z24" i="20"/>
  <c r="Y25" i="20"/>
  <c r="Z25" i="20"/>
  <c r="Y26" i="20"/>
  <c r="Z26" i="20" s="1"/>
  <c r="Y27" i="20"/>
  <c r="Z27" i="20" s="1"/>
  <c r="Y28" i="20"/>
  <c r="Z28" i="20"/>
  <c r="Y29" i="20"/>
  <c r="Z29" i="20"/>
  <c r="Y30" i="20"/>
  <c r="Z30" i="20" s="1"/>
  <c r="Y31" i="20"/>
  <c r="Z31" i="20" s="1"/>
  <c r="Y32" i="20"/>
  <c r="Z32" i="20"/>
  <c r="Y33" i="20"/>
  <c r="Z33" i="20"/>
  <c r="Y34" i="20"/>
  <c r="Z34" i="20" s="1"/>
  <c r="Y35" i="20"/>
  <c r="Z35" i="20" s="1"/>
  <c r="Y36" i="20"/>
  <c r="Z36" i="20"/>
  <c r="Y37" i="20"/>
  <c r="Z37" i="20"/>
  <c r="Y38" i="20"/>
  <c r="Z38" i="20" s="1"/>
  <c r="Y39" i="20"/>
  <c r="Z39" i="20" s="1"/>
  <c r="Y40" i="20"/>
  <c r="Z40" i="20"/>
  <c r="L45" i="20"/>
  <c r="Q36" i="17"/>
  <c r="AE36" i="17"/>
  <c r="AO55" i="17"/>
  <c r="AP55" i="17" s="1"/>
  <c r="F45" i="4" s="1"/>
  <c r="AO56" i="17"/>
  <c r="AP56" i="17" s="1"/>
  <c r="F68" i="4" s="1"/>
  <c r="AO57" i="17"/>
  <c r="AP57" i="17" s="1"/>
  <c r="F91" i="4" s="1"/>
  <c r="AL43" i="17"/>
  <c r="AO43" i="17" s="1"/>
  <c r="AN43" i="17"/>
  <c r="AL44" i="17"/>
  <c r="AO44" i="17" s="1"/>
  <c r="AP44" i="17" s="1"/>
  <c r="AN44" i="17"/>
  <c r="AL45" i="17"/>
  <c r="AO45" i="17" s="1"/>
  <c r="AP45" i="17" s="1"/>
  <c r="AN45" i="17"/>
  <c r="AL46" i="17"/>
  <c r="AO46" i="17" s="1"/>
  <c r="AP46" i="17" s="1"/>
  <c r="AN46" i="17"/>
  <c r="AL47" i="17"/>
  <c r="AO47" i="17" s="1"/>
  <c r="AP47" i="17" s="1"/>
  <c r="AN47" i="17"/>
  <c r="AL48" i="17"/>
  <c r="AO48" i="17" s="1"/>
  <c r="AP48" i="17" s="1"/>
  <c r="AN48" i="17"/>
  <c r="AL49" i="17"/>
  <c r="AO49" i="17" s="1"/>
  <c r="AP49" i="17" s="1"/>
  <c r="AN49" i="17"/>
  <c r="AL50" i="17"/>
  <c r="AO50" i="17" s="1"/>
  <c r="AP50" i="17" s="1"/>
  <c r="AN50" i="17"/>
  <c r="AL51" i="17"/>
  <c r="AO51" i="17" s="1"/>
  <c r="AP51" i="17" s="1"/>
  <c r="AN51" i="17"/>
  <c r="AL52" i="17"/>
  <c r="AO52" i="17" s="1"/>
  <c r="AP52" i="17" s="1"/>
  <c r="AN52" i="17"/>
  <c r="AA56" i="17"/>
  <c r="AB56" i="17" s="1"/>
  <c r="E68" i="4" s="1"/>
  <c r="AA57" i="17"/>
  <c r="AB57" i="17" s="1"/>
  <c r="E91" i="4" s="1"/>
  <c r="X43" i="17"/>
  <c r="AA43" i="17" s="1"/>
  <c r="AA55" i="17" s="1"/>
  <c r="AB55" i="17" s="1"/>
  <c r="E45" i="4" s="1"/>
  <c r="Z43" i="17"/>
  <c r="X44" i="17"/>
  <c r="AA44" i="17" s="1"/>
  <c r="AB44" i="17" s="1"/>
  <c r="Z44" i="17"/>
  <c r="X45" i="17"/>
  <c r="AA45" i="17" s="1"/>
  <c r="AB45" i="17" s="1"/>
  <c r="Z45" i="17"/>
  <c r="X46" i="17"/>
  <c r="AA46" i="17" s="1"/>
  <c r="AB46" i="17" s="1"/>
  <c r="Z46" i="17"/>
  <c r="X47" i="17"/>
  <c r="AA47" i="17" s="1"/>
  <c r="AB47" i="17" s="1"/>
  <c r="Z47" i="17"/>
  <c r="X48" i="17"/>
  <c r="AA48" i="17" s="1"/>
  <c r="AB48" i="17" s="1"/>
  <c r="Z48" i="17"/>
  <c r="X49" i="17"/>
  <c r="AA49" i="17" s="1"/>
  <c r="AB49" i="17" s="1"/>
  <c r="Z49" i="17"/>
  <c r="X50" i="17"/>
  <c r="AA50" i="17" s="1"/>
  <c r="AB50" i="17" s="1"/>
  <c r="Z50" i="17"/>
  <c r="X51" i="17"/>
  <c r="AA51" i="17" s="1"/>
  <c r="AB51" i="17" s="1"/>
  <c r="Z51" i="17"/>
  <c r="X52" i="17"/>
  <c r="AA52" i="17" s="1"/>
  <c r="AB52" i="17" s="1"/>
  <c r="Z52" i="17"/>
  <c r="M57" i="17"/>
  <c r="AF70" i="37"/>
  <c r="AG70" i="37" s="1"/>
  <c r="F44" i="4" s="1"/>
  <c r="N29" i="37"/>
  <c r="Y29" i="37"/>
  <c r="AF71" i="37"/>
  <c r="AG71" i="37" s="1"/>
  <c r="F67" i="4" s="1"/>
  <c r="AF72" i="37"/>
  <c r="AG72" i="37" s="1"/>
  <c r="F90" i="4" s="1"/>
  <c r="AC56" i="37"/>
  <c r="AF56" i="37" s="1"/>
  <c r="AE56" i="37"/>
  <c r="AC57" i="37"/>
  <c r="AF57" i="37" s="1"/>
  <c r="AG57" i="37" s="1"/>
  <c r="AE57" i="37"/>
  <c r="AC58" i="37"/>
  <c r="AF58" i="37" s="1"/>
  <c r="AG58" i="37" s="1"/>
  <c r="AE58" i="37"/>
  <c r="AC59" i="37"/>
  <c r="AF59" i="37" s="1"/>
  <c r="AG59" i="37" s="1"/>
  <c r="AE59" i="37"/>
  <c r="AC60" i="37"/>
  <c r="AF60" i="37" s="1"/>
  <c r="AG60" i="37" s="1"/>
  <c r="AE60" i="37"/>
  <c r="AC61" i="37"/>
  <c r="AF61" i="37" s="1"/>
  <c r="AG61" i="37" s="1"/>
  <c r="AE61" i="37"/>
  <c r="AC62" i="37"/>
  <c r="AF62" i="37" s="1"/>
  <c r="AG62" i="37" s="1"/>
  <c r="AE62" i="37"/>
  <c r="AC63" i="37"/>
  <c r="AF63" i="37" s="1"/>
  <c r="AG63" i="37" s="1"/>
  <c r="AE63" i="37"/>
  <c r="AC64" i="37"/>
  <c r="AF64" i="37" s="1"/>
  <c r="AG64" i="37" s="1"/>
  <c r="AE64" i="37"/>
  <c r="AC65" i="37"/>
  <c r="AF65" i="37" s="1"/>
  <c r="AG65" i="37" s="1"/>
  <c r="AE65" i="37"/>
  <c r="AC37" i="37"/>
  <c r="AF37" i="37" s="1"/>
  <c r="AE37" i="37"/>
  <c r="AC38" i="37"/>
  <c r="AF38" i="37" s="1"/>
  <c r="AG38" i="37" s="1"/>
  <c r="AE38" i="37"/>
  <c r="AC39" i="37"/>
  <c r="AF39" i="37" s="1"/>
  <c r="AG39" i="37" s="1"/>
  <c r="AE39" i="37"/>
  <c r="AC40" i="37"/>
  <c r="AF40" i="37" s="1"/>
  <c r="AG40" i="37" s="1"/>
  <c r="AE40" i="37"/>
  <c r="AC41" i="37"/>
  <c r="AF41" i="37" s="1"/>
  <c r="AG41" i="37" s="1"/>
  <c r="AE41" i="37"/>
  <c r="AC42" i="37"/>
  <c r="AF42" i="37" s="1"/>
  <c r="AG42" i="37" s="1"/>
  <c r="AE42" i="37"/>
  <c r="AC43" i="37"/>
  <c r="AF43" i="37" s="1"/>
  <c r="AG43" i="37" s="1"/>
  <c r="AE43" i="37"/>
  <c r="AC44" i="37"/>
  <c r="AF44" i="37" s="1"/>
  <c r="AG44" i="37" s="1"/>
  <c r="AE44" i="37"/>
  <c r="AC45" i="37"/>
  <c r="AF45" i="37" s="1"/>
  <c r="AG45" i="37" s="1"/>
  <c r="AE45" i="37"/>
  <c r="AC46" i="37"/>
  <c r="AF46" i="37" s="1"/>
  <c r="AG46" i="37" s="1"/>
  <c r="AE46" i="37"/>
  <c r="U72" i="37"/>
  <c r="V72" i="37" s="1"/>
  <c r="E90" i="4" s="1"/>
  <c r="R56" i="37"/>
  <c r="U56" i="37" s="1"/>
  <c r="T56" i="37"/>
  <c r="R57" i="37"/>
  <c r="U57" i="37" s="1"/>
  <c r="V57" i="37" s="1"/>
  <c r="T57" i="37"/>
  <c r="R58" i="37"/>
  <c r="U58" i="37" s="1"/>
  <c r="V58" i="37" s="1"/>
  <c r="T58" i="37"/>
  <c r="R59" i="37"/>
  <c r="U59" i="37" s="1"/>
  <c r="V59" i="37" s="1"/>
  <c r="T59" i="37"/>
  <c r="R60" i="37"/>
  <c r="U60" i="37" s="1"/>
  <c r="V60" i="37" s="1"/>
  <c r="T60" i="37"/>
  <c r="R61" i="37"/>
  <c r="U61" i="37" s="1"/>
  <c r="V61" i="37" s="1"/>
  <c r="T61" i="37"/>
  <c r="R62" i="37"/>
  <c r="U62" i="37" s="1"/>
  <c r="V62" i="37" s="1"/>
  <c r="T62" i="37"/>
  <c r="R63" i="37"/>
  <c r="U63" i="37" s="1"/>
  <c r="V63" i="37" s="1"/>
  <c r="T63" i="37"/>
  <c r="R64" i="37"/>
  <c r="U64" i="37" s="1"/>
  <c r="V64" i="37" s="1"/>
  <c r="T64" i="37"/>
  <c r="R65" i="37"/>
  <c r="U65" i="37" s="1"/>
  <c r="V65" i="37" s="1"/>
  <c r="T65" i="37"/>
  <c r="R37" i="37"/>
  <c r="U37" i="37" s="1"/>
  <c r="U70" i="37" s="1"/>
  <c r="V70" i="37" s="1"/>
  <c r="E44" i="4" s="1"/>
  <c r="T37" i="37"/>
  <c r="R38" i="37"/>
  <c r="U38" i="37" s="1"/>
  <c r="T38" i="37"/>
  <c r="R39" i="37"/>
  <c r="U39" i="37" s="1"/>
  <c r="V39" i="37" s="1"/>
  <c r="T39" i="37"/>
  <c r="R40" i="37"/>
  <c r="U40" i="37" s="1"/>
  <c r="V40" i="37" s="1"/>
  <c r="T40" i="37"/>
  <c r="R41" i="37"/>
  <c r="U41" i="37" s="1"/>
  <c r="V41" i="37" s="1"/>
  <c r="T41" i="37"/>
  <c r="R42" i="37"/>
  <c r="U42" i="37" s="1"/>
  <c r="V42" i="37" s="1"/>
  <c r="T42" i="37"/>
  <c r="R43" i="37"/>
  <c r="U43" i="37" s="1"/>
  <c r="V43" i="37" s="1"/>
  <c r="T43" i="37"/>
  <c r="R44" i="37"/>
  <c r="U44" i="37" s="1"/>
  <c r="V44" i="37" s="1"/>
  <c r="T44" i="37"/>
  <c r="R45" i="37"/>
  <c r="U45" i="37" s="1"/>
  <c r="V45" i="37" s="1"/>
  <c r="T45" i="37"/>
  <c r="R46" i="37"/>
  <c r="U46" i="37" s="1"/>
  <c r="V46" i="37" s="1"/>
  <c r="T46" i="37"/>
  <c r="Y30" i="19"/>
  <c r="N30" i="19"/>
  <c r="AF71" i="19"/>
  <c r="AG71" i="19" s="1"/>
  <c r="F43" i="4" s="1"/>
  <c r="AF72" i="19"/>
  <c r="AG72" i="19" s="1"/>
  <c r="F66" i="4" s="1"/>
  <c r="AF73" i="19"/>
  <c r="AG73" i="19" s="1"/>
  <c r="F89" i="4" s="1"/>
  <c r="AC57" i="19"/>
  <c r="AF57" i="19" s="1"/>
  <c r="AG57" i="19" s="1"/>
  <c r="AE57" i="19"/>
  <c r="AC58" i="19"/>
  <c r="AF58" i="19" s="1"/>
  <c r="AG58" i="19" s="1"/>
  <c r="AE58" i="19"/>
  <c r="AC59" i="19"/>
  <c r="AF59" i="19" s="1"/>
  <c r="AG59" i="19" s="1"/>
  <c r="AE59" i="19"/>
  <c r="AC60" i="19"/>
  <c r="AF60" i="19" s="1"/>
  <c r="AG60" i="19" s="1"/>
  <c r="AE60" i="19"/>
  <c r="AC61" i="19"/>
  <c r="AF61" i="19" s="1"/>
  <c r="AG61" i="19" s="1"/>
  <c r="AE61" i="19"/>
  <c r="AC62" i="19"/>
  <c r="AF62" i="19" s="1"/>
  <c r="AG62" i="19" s="1"/>
  <c r="AE62" i="19"/>
  <c r="AC63" i="19"/>
  <c r="AF63" i="19" s="1"/>
  <c r="AG63" i="19" s="1"/>
  <c r="AE63" i="19"/>
  <c r="AC64" i="19"/>
  <c r="AF64" i="19" s="1"/>
  <c r="AG64" i="19" s="1"/>
  <c r="AE64" i="19"/>
  <c r="AC65" i="19"/>
  <c r="AF65" i="19" s="1"/>
  <c r="AG65" i="19" s="1"/>
  <c r="AE65" i="19"/>
  <c r="AC66" i="19"/>
  <c r="AF66" i="19" s="1"/>
  <c r="AG66" i="19" s="1"/>
  <c r="AE66" i="19"/>
  <c r="AC38" i="19"/>
  <c r="AF38" i="19" s="1"/>
  <c r="AG38" i="19" s="1"/>
  <c r="AC39" i="19"/>
  <c r="AF39" i="19" s="1"/>
  <c r="AC40" i="19"/>
  <c r="AF40" i="19" s="1"/>
  <c r="AG40" i="19" s="1"/>
  <c r="AC41" i="19"/>
  <c r="AF41" i="19" s="1"/>
  <c r="AG41" i="19" s="1"/>
  <c r="AC42" i="19"/>
  <c r="AF42" i="19" s="1"/>
  <c r="AG42" i="19" s="1"/>
  <c r="AC43" i="19"/>
  <c r="AF43" i="19" s="1"/>
  <c r="AG43" i="19" s="1"/>
  <c r="AC44" i="19"/>
  <c r="AF44" i="19" s="1"/>
  <c r="AG44" i="19" s="1"/>
  <c r="AC45" i="19"/>
  <c r="AF45" i="19" s="1"/>
  <c r="AG45" i="19" s="1"/>
  <c r="AC46" i="19"/>
  <c r="AF46" i="19" s="1"/>
  <c r="AG46" i="19" s="1"/>
  <c r="AC47" i="19"/>
  <c r="AF47" i="19" s="1"/>
  <c r="AG47" i="19" s="1"/>
  <c r="U73" i="19"/>
  <c r="V73" i="19" s="1"/>
  <c r="E89" i="4" s="1"/>
  <c r="R57" i="19"/>
  <c r="U57" i="19" s="1"/>
  <c r="T57" i="19"/>
  <c r="R58" i="19"/>
  <c r="U58" i="19" s="1"/>
  <c r="V58" i="19" s="1"/>
  <c r="T58" i="19"/>
  <c r="R59" i="19"/>
  <c r="U59" i="19" s="1"/>
  <c r="V59" i="19" s="1"/>
  <c r="T59" i="19"/>
  <c r="R60" i="19"/>
  <c r="U60" i="19" s="1"/>
  <c r="V60" i="19" s="1"/>
  <c r="T60" i="19"/>
  <c r="R61" i="19"/>
  <c r="U61" i="19" s="1"/>
  <c r="V61" i="19" s="1"/>
  <c r="T61" i="19"/>
  <c r="R62" i="19"/>
  <c r="U62" i="19" s="1"/>
  <c r="V62" i="19" s="1"/>
  <c r="T62" i="19"/>
  <c r="R63" i="19"/>
  <c r="U63" i="19" s="1"/>
  <c r="V63" i="19" s="1"/>
  <c r="T63" i="19"/>
  <c r="R64" i="19"/>
  <c r="U64" i="19" s="1"/>
  <c r="V64" i="19" s="1"/>
  <c r="T64" i="19"/>
  <c r="R65" i="19"/>
  <c r="U65" i="19" s="1"/>
  <c r="V65" i="19" s="1"/>
  <c r="T65" i="19"/>
  <c r="R66" i="19"/>
  <c r="U66" i="19" s="1"/>
  <c r="V66" i="19" s="1"/>
  <c r="T66" i="19"/>
  <c r="R38" i="19"/>
  <c r="U38" i="19" s="1"/>
  <c r="U71" i="19" s="1"/>
  <c r="V71" i="19" s="1"/>
  <c r="E43" i="4" s="1"/>
  <c r="R39" i="19"/>
  <c r="U39" i="19" s="1"/>
  <c r="V39" i="19" s="1"/>
  <c r="R40" i="19"/>
  <c r="U40" i="19" s="1"/>
  <c r="V40" i="19" s="1"/>
  <c r="R41" i="19"/>
  <c r="U41" i="19" s="1"/>
  <c r="V41" i="19" s="1"/>
  <c r="R42" i="19"/>
  <c r="U42" i="19" s="1"/>
  <c r="V42" i="19" s="1"/>
  <c r="R43" i="19"/>
  <c r="U43" i="19" s="1"/>
  <c r="V43" i="19" s="1"/>
  <c r="R44" i="19"/>
  <c r="U44" i="19" s="1"/>
  <c r="V44" i="19" s="1"/>
  <c r="R45" i="19"/>
  <c r="U45" i="19" s="1"/>
  <c r="V45" i="19" s="1"/>
  <c r="R46" i="19"/>
  <c r="U46" i="19" s="1"/>
  <c r="V46" i="19" s="1"/>
  <c r="R47" i="19"/>
  <c r="U47" i="19" s="1"/>
  <c r="V47" i="19" s="1"/>
  <c r="J73" i="19"/>
  <c r="AM41" i="6"/>
  <c r="AV198" i="6"/>
  <c r="AW198" i="6" s="1"/>
  <c r="F88" i="4" s="1"/>
  <c r="AV197" i="6"/>
  <c r="AW197" i="6" s="1"/>
  <c r="F65" i="4" s="1"/>
  <c r="AV196" i="6"/>
  <c r="AW196" i="6" s="1"/>
  <c r="F42" i="4" s="1"/>
  <c r="F50" i="4" s="1"/>
  <c r="AT190" i="6"/>
  <c r="AR190" i="6"/>
  <c r="AV190" i="6" s="1"/>
  <c r="AW190" i="6" s="1"/>
  <c r="AT189" i="6"/>
  <c r="AR189" i="6"/>
  <c r="AV189" i="6" s="1"/>
  <c r="AW189" i="6" s="1"/>
  <c r="AT188" i="6"/>
  <c r="AR188" i="6"/>
  <c r="AV188" i="6" s="1"/>
  <c r="AW188" i="6" s="1"/>
  <c r="AT187" i="6"/>
  <c r="AR187" i="6"/>
  <c r="AV187" i="6" s="1"/>
  <c r="AW187" i="6" s="1"/>
  <c r="AT186" i="6"/>
  <c r="AR186" i="6"/>
  <c r="AV186" i="6" s="1"/>
  <c r="AW186" i="6" s="1"/>
  <c r="AT185" i="6"/>
  <c r="AR185" i="6"/>
  <c r="AV185" i="6" s="1"/>
  <c r="AW185" i="6" s="1"/>
  <c r="AT184" i="6"/>
  <c r="AR184" i="6"/>
  <c r="AV184" i="6" s="1"/>
  <c r="AW184" i="6" s="1"/>
  <c r="AT183" i="6"/>
  <c r="AR183" i="6"/>
  <c r="AV183" i="6" s="1"/>
  <c r="AW183" i="6" s="1"/>
  <c r="AT182" i="6"/>
  <c r="AR182" i="6"/>
  <c r="AV182" i="6" s="1"/>
  <c r="AW182" i="6" s="1"/>
  <c r="AT181" i="6"/>
  <c r="AR181" i="6"/>
  <c r="AV181" i="6" s="1"/>
  <c r="AV171" i="6"/>
  <c r="AS171" i="6"/>
  <c r="BA171" i="6" s="1"/>
  <c r="BB171" i="6" s="1"/>
  <c r="AR171" i="6"/>
  <c r="AY171" i="6" s="1"/>
  <c r="AZ171" i="6" s="1"/>
  <c r="AV170" i="6"/>
  <c r="AS170" i="6"/>
  <c r="BA170" i="6" s="1"/>
  <c r="BB170" i="6" s="1"/>
  <c r="AR170" i="6"/>
  <c r="AY170" i="6" s="1"/>
  <c r="AZ170" i="6" s="1"/>
  <c r="AV169" i="6"/>
  <c r="AS169" i="6"/>
  <c r="BA169" i="6" s="1"/>
  <c r="BB169" i="6" s="1"/>
  <c r="AR169" i="6"/>
  <c r="AY169" i="6" s="1"/>
  <c r="AZ169" i="6" s="1"/>
  <c r="AV168" i="6"/>
  <c r="AS168" i="6"/>
  <c r="BA168" i="6" s="1"/>
  <c r="BB168" i="6" s="1"/>
  <c r="AR168" i="6"/>
  <c r="AY168" i="6" s="1"/>
  <c r="AZ168" i="6" s="1"/>
  <c r="AV167" i="6"/>
  <c r="AS167" i="6"/>
  <c r="BA167" i="6" s="1"/>
  <c r="BB167" i="6" s="1"/>
  <c r="AR167" i="6"/>
  <c r="AY167" i="6" s="1"/>
  <c r="AZ167" i="6" s="1"/>
  <c r="AV166" i="6"/>
  <c r="AS166" i="6"/>
  <c r="BA166" i="6" s="1"/>
  <c r="BB166" i="6" s="1"/>
  <c r="AR166" i="6"/>
  <c r="AY166" i="6" s="1"/>
  <c r="AZ166" i="6" s="1"/>
  <c r="AV165" i="6"/>
  <c r="AS165" i="6"/>
  <c r="BA165" i="6" s="1"/>
  <c r="BB165" i="6" s="1"/>
  <c r="AR165" i="6"/>
  <c r="AY165" i="6" s="1"/>
  <c r="AZ165" i="6" s="1"/>
  <c r="AV164" i="6"/>
  <c r="AS164" i="6"/>
  <c r="BA164" i="6" s="1"/>
  <c r="BB164" i="6" s="1"/>
  <c r="AR164" i="6"/>
  <c r="AY164" i="6" s="1"/>
  <c r="AZ164" i="6" s="1"/>
  <c r="AV163" i="6"/>
  <c r="AS163" i="6"/>
  <c r="BA163" i="6" s="1"/>
  <c r="BB163" i="6" s="1"/>
  <c r="AR163" i="6"/>
  <c r="AY163" i="6" s="1"/>
  <c r="AZ163" i="6" s="1"/>
  <c r="AV162" i="6"/>
  <c r="AS162" i="6"/>
  <c r="BA162" i="6" s="1"/>
  <c r="AR162" i="6"/>
  <c r="AY162" i="6" s="1"/>
  <c r="AT152" i="6"/>
  <c r="AR152" i="6"/>
  <c r="AV152" i="6" s="1"/>
  <c r="AW152" i="6" s="1"/>
  <c r="AT151" i="6"/>
  <c r="AR151" i="6"/>
  <c r="AV151" i="6" s="1"/>
  <c r="AW151" i="6" s="1"/>
  <c r="AT150" i="6"/>
  <c r="AR150" i="6"/>
  <c r="AV150" i="6" s="1"/>
  <c r="AW150" i="6" s="1"/>
  <c r="AT149" i="6"/>
  <c r="AR149" i="6"/>
  <c r="AV149" i="6" s="1"/>
  <c r="AW149" i="6" s="1"/>
  <c r="AT148" i="6"/>
  <c r="AR148" i="6"/>
  <c r="AV148" i="6" s="1"/>
  <c r="AW148" i="6" s="1"/>
  <c r="AT147" i="6"/>
  <c r="AR147" i="6"/>
  <c r="AV147" i="6" s="1"/>
  <c r="AW147" i="6" s="1"/>
  <c r="AT146" i="6"/>
  <c r="AR146" i="6"/>
  <c r="AV146" i="6" s="1"/>
  <c r="AW146" i="6" s="1"/>
  <c r="AT145" i="6"/>
  <c r="AR145" i="6"/>
  <c r="AV145" i="6" s="1"/>
  <c r="AW145" i="6" s="1"/>
  <c r="AT144" i="6"/>
  <c r="AR144" i="6"/>
  <c r="AV144" i="6" s="1"/>
  <c r="AW144" i="6" s="1"/>
  <c r="AT143" i="6"/>
  <c r="AR143" i="6"/>
  <c r="AV143" i="6" s="1"/>
  <c r="AW143" i="6" s="1"/>
  <c r="AS133" i="6"/>
  <c r="AQ133" i="6"/>
  <c r="AV133" i="6" s="1"/>
  <c r="AW133" i="6" s="1"/>
  <c r="AS132" i="6"/>
  <c r="AQ132" i="6"/>
  <c r="AV132" i="6" s="1"/>
  <c r="AW132" i="6" s="1"/>
  <c r="AS131" i="6"/>
  <c r="AQ131" i="6"/>
  <c r="AV131" i="6" s="1"/>
  <c r="AW131" i="6" s="1"/>
  <c r="AS130" i="6"/>
  <c r="AQ130" i="6"/>
  <c r="AV130" i="6" s="1"/>
  <c r="AW130" i="6" s="1"/>
  <c r="AS129" i="6"/>
  <c r="AQ129" i="6"/>
  <c r="AV129" i="6" s="1"/>
  <c r="AW129" i="6" s="1"/>
  <c r="AS128" i="6"/>
  <c r="AQ128" i="6"/>
  <c r="AV128" i="6" s="1"/>
  <c r="AW128" i="6" s="1"/>
  <c r="AS127" i="6"/>
  <c r="AQ127" i="6"/>
  <c r="AV127" i="6" s="1"/>
  <c r="AW127" i="6" s="1"/>
  <c r="AS126" i="6"/>
  <c r="AQ126" i="6"/>
  <c r="AV126" i="6" s="1"/>
  <c r="AW126" i="6" s="1"/>
  <c r="AS125" i="6"/>
  <c r="AQ125" i="6"/>
  <c r="AV125" i="6" s="1"/>
  <c r="AW125" i="6" s="1"/>
  <c r="AS124" i="6"/>
  <c r="AQ124" i="6"/>
  <c r="AV124" i="6" s="1"/>
  <c r="AW115" i="6"/>
  <c r="AV115" i="6"/>
  <c r="AT115" i="6"/>
  <c r="AQ115" i="6"/>
  <c r="AW114" i="6"/>
  <c r="AV114" i="6"/>
  <c r="AT114" i="6"/>
  <c r="AQ114" i="6"/>
  <c r="AW113" i="6"/>
  <c r="AV113" i="6"/>
  <c r="AT113" i="6"/>
  <c r="AQ113" i="6"/>
  <c r="AW112" i="6"/>
  <c r="AV112" i="6"/>
  <c r="AT112" i="6"/>
  <c r="AQ112" i="6"/>
  <c r="AW111" i="6"/>
  <c r="AV111" i="6"/>
  <c r="AT111" i="6"/>
  <c r="AQ111" i="6"/>
  <c r="AW110" i="6"/>
  <c r="AV110" i="6"/>
  <c r="AT110" i="6"/>
  <c r="AQ110" i="6"/>
  <c r="AW109" i="6"/>
  <c r="AV109" i="6"/>
  <c r="AT109" i="6"/>
  <c r="AQ109" i="6"/>
  <c r="AW108" i="6"/>
  <c r="AV108" i="6"/>
  <c r="AT108" i="6"/>
  <c r="AQ108" i="6"/>
  <c r="AW107" i="6"/>
  <c r="AV107" i="6"/>
  <c r="AT107" i="6"/>
  <c r="AQ107" i="6"/>
  <c r="AW106" i="6"/>
  <c r="AV106" i="6"/>
  <c r="AT106" i="6"/>
  <c r="AQ106" i="6"/>
  <c r="AW96" i="6"/>
  <c r="AV96" i="6"/>
  <c r="AT96" i="6"/>
  <c r="AZ96" i="6" s="1"/>
  <c r="BA96" i="6" s="1"/>
  <c r="AQ96" i="6"/>
  <c r="AW95" i="6"/>
  <c r="AV95" i="6"/>
  <c r="AT95" i="6"/>
  <c r="AZ95" i="6" s="1"/>
  <c r="BA95" i="6" s="1"/>
  <c r="AQ95" i="6"/>
  <c r="AW94" i="6"/>
  <c r="AV94" i="6"/>
  <c r="AT94" i="6"/>
  <c r="AQ94" i="6"/>
  <c r="AW93" i="6"/>
  <c r="AV93" i="6"/>
  <c r="AT93" i="6"/>
  <c r="AQ93" i="6"/>
  <c r="AW92" i="6"/>
  <c r="AV92" i="6"/>
  <c r="AT92" i="6"/>
  <c r="AQ92" i="6"/>
  <c r="AW91" i="6"/>
  <c r="AV91" i="6"/>
  <c r="AT91" i="6"/>
  <c r="AZ91" i="6" s="1"/>
  <c r="BA91" i="6" s="1"/>
  <c r="AQ91" i="6"/>
  <c r="AW90" i="6"/>
  <c r="AV90" i="6"/>
  <c r="AT90" i="6"/>
  <c r="AQ90" i="6"/>
  <c r="AW89" i="6"/>
  <c r="AV89" i="6"/>
  <c r="AT89" i="6"/>
  <c r="AQ89" i="6"/>
  <c r="AW88" i="6"/>
  <c r="AV88" i="6"/>
  <c r="AT88" i="6"/>
  <c r="AQ88" i="6"/>
  <c r="AW87" i="6"/>
  <c r="AV87" i="6"/>
  <c r="AT87" i="6"/>
  <c r="AQ87" i="6"/>
  <c r="AW77" i="6"/>
  <c r="AV77" i="6"/>
  <c r="AT77" i="6"/>
  <c r="AQ77" i="6"/>
  <c r="AW76" i="6"/>
  <c r="AV76" i="6"/>
  <c r="AT76" i="6"/>
  <c r="AQ76" i="6"/>
  <c r="AW75" i="6"/>
  <c r="AV75" i="6"/>
  <c r="AT75" i="6"/>
  <c r="AQ75" i="6"/>
  <c r="AW74" i="6"/>
  <c r="AV74" i="6"/>
  <c r="AT74" i="6"/>
  <c r="AQ74" i="6"/>
  <c r="AW73" i="6"/>
  <c r="AV73" i="6"/>
  <c r="AT73" i="6"/>
  <c r="AQ73" i="6"/>
  <c r="AW72" i="6"/>
  <c r="AV72" i="6"/>
  <c r="AT72" i="6"/>
  <c r="AQ72" i="6"/>
  <c r="AW71" i="6"/>
  <c r="AV71" i="6"/>
  <c r="AT71" i="6"/>
  <c r="AQ71" i="6"/>
  <c r="AW70" i="6"/>
  <c r="AV70" i="6"/>
  <c r="AT70" i="6"/>
  <c r="AQ70" i="6"/>
  <c r="AW69" i="6"/>
  <c r="AV69" i="6"/>
  <c r="AT69" i="6"/>
  <c r="AQ69" i="6"/>
  <c r="AW68" i="6"/>
  <c r="AV68" i="6"/>
  <c r="AT68" i="6"/>
  <c r="AZ68" i="6" s="1"/>
  <c r="BA68" i="6" s="1"/>
  <c r="AQ68" i="6"/>
  <c r="AV58" i="6"/>
  <c r="AU58" i="6"/>
  <c r="AS58" i="6"/>
  <c r="AQ58" i="6"/>
  <c r="AV57" i="6"/>
  <c r="AU57" i="6"/>
  <c r="AS57" i="6"/>
  <c r="AQ57" i="6"/>
  <c r="AV56" i="6"/>
  <c r="AU56" i="6"/>
  <c r="AS56" i="6"/>
  <c r="AQ56" i="6"/>
  <c r="AV55" i="6"/>
  <c r="AU55" i="6"/>
  <c r="AS55" i="6"/>
  <c r="AQ55" i="6"/>
  <c r="AV54" i="6"/>
  <c r="AU54" i="6"/>
  <c r="AS54" i="6"/>
  <c r="AQ54" i="6"/>
  <c r="AV53" i="6"/>
  <c r="AU53" i="6"/>
  <c r="AS53" i="6"/>
  <c r="AQ53" i="6"/>
  <c r="AV52" i="6"/>
  <c r="AU52" i="6"/>
  <c r="AS52" i="6"/>
  <c r="AQ52" i="6"/>
  <c r="AV51" i="6"/>
  <c r="AU51" i="6"/>
  <c r="AS51" i="6"/>
  <c r="AQ51" i="6"/>
  <c r="AV50" i="6"/>
  <c r="AU50" i="6"/>
  <c r="AS50" i="6"/>
  <c r="AQ50" i="6"/>
  <c r="AV49" i="6"/>
  <c r="AU49" i="6"/>
  <c r="AS49" i="6"/>
  <c r="AQ49" i="6"/>
  <c r="U41" i="6"/>
  <c r="AB190" i="6"/>
  <c r="Z190" i="6"/>
  <c r="AD190" i="6" s="1"/>
  <c r="AE190" i="6" s="1"/>
  <c r="AB189" i="6"/>
  <c r="Z189" i="6"/>
  <c r="AD189" i="6" s="1"/>
  <c r="AE189" i="6" s="1"/>
  <c r="AB188" i="6"/>
  <c r="Z188" i="6"/>
  <c r="AD188" i="6" s="1"/>
  <c r="AE188" i="6" s="1"/>
  <c r="AB187" i="6"/>
  <c r="Z187" i="6"/>
  <c r="AD187" i="6" s="1"/>
  <c r="AE187" i="6" s="1"/>
  <c r="AB186" i="6"/>
  <c r="Z186" i="6"/>
  <c r="AD186" i="6" s="1"/>
  <c r="AE186" i="6" s="1"/>
  <c r="AB185" i="6"/>
  <c r="Z185" i="6"/>
  <c r="AD185" i="6" s="1"/>
  <c r="AE185" i="6" s="1"/>
  <c r="AB184" i="6"/>
  <c r="Z184" i="6"/>
  <c r="AD184" i="6" s="1"/>
  <c r="AE184" i="6" s="1"/>
  <c r="AB183" i="6"/>
  <c r="Z183" i="6"/>
  <c r="AD183" i="6" s="1"/>
  <c r="AE183" i="6" s="1"/>
  <c r="AB182" i="6"/>
  <c r="Z182" i="6"/>
  <c r="AD182" i="6" s="1"/>
  <c r="AE182" i="6" s="1"/>
  <c r="AB181" i="6"/>
  <c r="Z181" i="6"/>
  <c r="AD181" i="6" s="1"/>
  <c r="AD171" i="6"/>
  <c r="AA171" i="6"/>
  <c r="AI171" i="6" s="1"/>
  <c r="AJ171" i="6" s="1"/>
  <c r="Z171" i="6"/>
  <c r="AG171" i="6" s="1"/>
  <c r="AH171" i="6" s="1"/>
  <c r="AD170" i="6"/>
  <c r="AA170" i="6"/>
  <c r="AI170" i="6" s="1"/>
  <c r="AJ170" i="6" s="1"/>
  <c r="Z170" i="6"/>
  <c r="AG170" i="6" s="1"/>
  <c r="AH170" i="6" s="1"/>
  <c r="AD169" i="6"/>
  <c r="AA169" i="6"/>
  <c r="AI169" i="6" s="1"/>
  <c r="AJ169" i="6" s="1"/>
  <c r="Z169" i="6"/>
  <c r="AG169" i="6" s="1"/>
  <c r="AH169" i="6" s="1"/>
  <c r="AD168" i="6"/>
  <c r="AA168" i="6"/>
  <c r="AI168" i="6" s="1"/>
  <c r="AJ168" i="6" s="1"/>
  <c r="Z168" i="6"/>
  <c r="AG168" i="6" s="1"/>
  <c r="AH168" i="6" s="1"/>
  <c r="AD167" i="6"/>
  <c r="AA167" i="6"/>
  <c r="AI167" i="6" s="1"/>
  <c r="AJ167" i="6" s="1"/>
  <c r="Z167" i="6"/>
  <c r="AG167" i="6" s="1"/>
  <c r="AH167" i="6" s="1"/>
  <c r="AD166" i="6"/>
  <c r="AA166" i="6"/>
  <c r="AI166" i="6" s="1"/>
  <c r="AJ166" i="6" s="1"/>
  <c r="Z166" i="6"/>
  <c r="AG166" i="6" s="1"/>
  <c r="AH166" i="6" s="1"/>
  <c r="AD165" i="6"/>
  <c r="AA165" i="6"/>
  <c r="AI165" i="6" s="1"/>
  <c r="AJ165" i="6" s="1"/>
  <c r="Z165" i="6"/>
  <c r="AG165" i="6" s="1"/>
  <c r="AH165" i="6" s="1"/>
  <c r="AD164" i="6"/>
  <c r="AA164" i="6"/>
  <c r="AI164" i="6" s="1"/>
  <c r="AJ164" i="6" s="1"/>
  <c r="Z164" i="6"/>
  <c r="AG164" i="6" s="1"/>
  <c r="AH164" i="6" s="1"/>
  <c r="AD163" i="6"/>
  <c r="AA163" i="6"/>
  <c r="AI163" i="6" s="1"/>
  <c r="AJ163" i="6" s="1"/>
  <c r="Z163" i="6"/>
  <c r="AG163" i="6" s="1"/>
  <c r="AH163" i="6" s="1"/>
  <c r="AD162" i="6"/>
  <c r="AA162" i="6"/>
  <c r="AI162" i="6" s="1"/>
  <c r="Z162" i="6"/>
  <c r="AG162" i="6" s="1"/>
  <c r="AB152" i="6"/>
  <c r="Z152" i="6"/>
  <c r="AD152" i="6" s="1"/>
  <c r="AE152" i="6" s="1"/>
  <c r="AB151" i="6"/>
  <c r="Z151" i="6"/>
  <c r="AD151" i="6" s="1"/>
  <c r="AE151" i="6" s="1"/>
  <c r="AB150" i="6"/>
  <c r="Z150" i="6"/>
  <c r="AD150" i="6" s="1"/>
  <c r="AE150" i="6" s="1"/>
  <c r="AB149" i="6"/>
  <c r="Z149" i="6"/>
  <c r="AD149" i="6" s="1"/>
  <c r="AE149" i="6" s="1"/>
  <c r="AB148" i="6"/>
  <c r="Z148" i="6"/>
  <c r="AD148" i="6" s="1"/>
  <c r="AE148" i="6" s="1"/>
  <c r="AB147" i="6"/>
  <c r="Z147" i="6"/>
  <c r="AD147" i="6" s="1"/>
  <c r="AE147" i="6" s="1"/>
  <c r="AB146" i="6"/>
  <c r="Z146" i="6"/>
  <c r="AD146" i="6" s="1"/>
  <c r="AE146" i="6" s="1"/>
  <c r="AB145" i="6"/>
  <c r="Z145" i="6"/>
  <c r="AD145" i="6" s="1"/>
  <c r="AE145" i="6" s="1"/>
  <c r="AB144" i="6"/>
  <c r="Z144" i="6"/>
  <c r="AD144" i="6" s="1"/>
  <c r="AE144" i="6" s="1"/>
  <c r="AB143" i="6"/>
  <c r="Z143" i="6"/>
  <c r="AD143" i="6" s="1"/>
  <c r="AA133" i="6"/>
  <c r="Y133" i="6"/>
  <c r="AD133" i="6" s="1"/>
  <c r="AE133" i="6" s="1"/>
  <c r="AA132" i="6"/>
  <c r="Y132" i="6"/>
  <c r="AD132" i="6" s="1"/>
  <c r="AE132" i="6" s="1"/>
  <c r="AA131" i="6"/>
  <c r="Y131" i="6"/>
  <c r="AD131" i="6" s="1"/>
  <c r="AE131" i="6" s="1"/>
  <c r="AA130" i="6"/>
  <c r="Y130" i="6"/>
  <c r="AD130" i="6" s="1"/>
  <c r="AE130" i="6" s="1"/>
  <c r="AA129" i="6"/>
  <c r="Y129" i="6"/>
  <c r="AD129" i="6" s="1"/>
  <c r="AE129" i="6" s="1"/>
  <c r="AA128" i="6"/>
  <c r="Y128" i="6"/>
  <c r="AD128" i="6" s="1"/>
  <c r="AE128" i="6" s="1"/>
  <c r="AA127" i="6"/>
  <c r="Y127" i="6"/>
  <c r="AD127" i="6" s="1"/>
  <c r="AE127" i="6" s="1"/>
  <c r="AA126" i="6"/>
  <c r="Y126" i="6"/>
  <c r="AD126" i="6" s="1"/>
  <c r="AE126" i="6" s="1"/>
  <c r="AA125" i="6"/>
  <c r="Y125" i="6"/>
  <c r="AD125" i="6" s="1"/>
  <c r="AE125" i="6" s="1"/>
  <c r="AA124" i="6"/>
  <c r="Y124" i="6"/>
  <c r="AD124" i="6" s="1"/>
  <c r="AE115" i="6"/>
  <c r="AD115" i="6"/>
  <c r="AB115" i="6"/>
  <c r="Y115" i="6"/>
  <c r="AE114" i="6"/>
  <c r="AD114" i="6"/>
  <c r="AB114" i="6"/>
  <c r="Y114" i="6"/>
  <c r="AE113" i="6"/>
  <c r="AD113" i="6"/>
  <c r="AB113" i="6"/>
  <c r="Y113" i="6"/>
  <c r="AE112" i="6"/>
  <c r="AD112" i="6"/>
  <c r="AB112" i="6"/>
  <c r="Y112" i="6"/>
  <c r="AE111" i="6"/>
  <c r="AD111" i="6"/>
  <c r="AB111" i="6"/>
  <c r="Y111" i="6"/>
  <c r="AE110" i="6"/>
  <c r="AD110" i="6"/>
  <c r="AB110" i="6"/>
  <c r="Y110" i="6"/>
  <c r="AE109" i="6"/>
  <c r="AD109" i="6"/>
  <c r="AB109" i="6"/>
  <c r="Y109" i="6"/>
  <c r="AE108" i="6"/>
  <c r="AD108" i="6"/>
  <c r="AB108" i="6"/>
  <c r="Y108" i="6"/>
  <c r="AE107" i="6"/>
  <c r="AD107" i="6"/>
  <c r="AB107" i="6"/>
  <c r="Y107" i="6"/>
  <c r="AE106" i="6"/>
  <c r="AD106" i="6"/>
  <c r="AB106" i="6"/>
  <c r="Y106" i="6"/>
  <c r="AE96" i="6"/>
  <c r="AD96" i="6"/>
  <c r="AB96" i="6"/>
  <c r="Y96" i="6"/>
  <c r="AE95" i="6"/>
  <c r="AD95" i="6"/>
  <c r="AB95" i="6"/>
  <c r="Y95" i="6"/>
  <c r="AE94" i="6"/>
  <c r="AD94" i="6"/>
  <c r="AB94" i="6"/>
  <c r="Y94" i="6"/>
  <c r="AE93" i="6"/>
  <c r="AD93" i="6"/>
  <c r="AB93" i="6"/>
  <c r="Y93" i="6"/>
  <c r="AE92" i="6"/>
  <c r="AD92" i="6"/>
  <c r="AB92" i="6"/>
  <c r="Y92" i="6"/>
  <c r="AE91" i="6"/>
  <c r="AD91" i="6"/>
  <c r="AB91" i="6"/>
  <c r="Y91" i="6"/>
  <c r="AE90" i="6"/>
  <c r="AD90" i="6"/>
  <c r="AB90" i="6"/>
  <c r="Y90" i="6"/>
  <c r="AE89" i="6"/>
  <c r="AD89" i="6"/>
  <c r="AB89" i="6"/>
  <c r="Y89" i="6"/>
  <c r="AE88" i="6"/>
  <c r="AD88" i="6"/>
  <c r="AB88" i="6"/>
  <c r="Y88" i="6"/>
  <c r="AE87" i="6"/>
  <c r="AD87" i="6"/>
  <c r="AB87" i="6"/>
  <c r="Y87" i="6"/>
  <c r="AE77" i="6"/>
  <c r="AD77" i="6"/>
  <c r="AB77" i="6"/>
  <c r="Y77" i="6"/>
  <c r="AE76" i="6"/>
  <c r="AD76" i="6"/>
  <c r="AB76" i="6"/>
  <c r="Y76" i="6"/>
  <c r="AE75" i="6"/>
  <c r="AD75" i="6"/>
  <c r="AB75" i="6"/>
  <c r="Y75" i="6"/>
  <c r="AE74" i="6"/>
  <c r="AD74" i="6"/>
  <c r="AB74" i="6"/>
  <c r="Y74" i="6"/>
  <c r="AE73" i="6"/>
  <c r="AD73" i="6"/>
  <c r="AB73" i="6"/>
  <c r="Y73" i="6"/>
  <c r="AE72" i="6"/>
  <c r="AD72" i="6"/>
  <c r="AB72" i="6"/>
  <c r="Y72" i="6"/>
  <c r="AE71" i="6"/>
  <c r="AD71" i="6"/>
  <c r="AB71" i="6"/>
  <c r="Y71" i="6"/>
  <c r="AE70" i="6"/>
  <c r="AD70" i="6"/>
  <c r="AB70" i="6"/>
  <c r="Y70" i="6"/>
  <c r="AE69" i="6"/>
  <c r="AD69" i="6"/>
  <c r="AB69" i="6"/>
  <c r="Y69" i="6"/>
  <c r="AE68" i="6"/>
  <c r="AD68" i="6"/>
  <c r="AB68" i="6"/>
  <c r="Y68" i="6"/>
  <c r="AD58" i="6"/>
  <c r="AC58" i="6"/>
  <c r="AA58" i="6"/>
  <c r="Y58" i="6"/>
  <c r="AD57" i="6"/>
  <c r="AC57" i="6"/>
  <c r="AA57" i="6"/>
  <c r="Y57" i="6"/>
  <c r="AD56" i="6"/>
  <c r="AC56" i="6"/>
  <c r="AA56" i="6"/>
  <c r="Y56" i="6"/>
  <c r="AD55" i="6"/>
  <c r="AC55" i="6"/>
  <c r="AA55" i="6"/>
  <c r="Y55" i="6"/>
  <c r="AD54" i="6"/>
  <c r="AC54" i="6"/>
  <c r="AA54" i="6"/>
  <c r="Y54" i="6"/>
  <c r="AD53" i="6"/>
  <c r="AC53" i="6"/>
  <c r="AA53" i="6"/>
  <c r="Y53" i="6"/>
  <c r="AD52" i="6"/>
  <c r="AC52" i="6"/>
  <c r="AA52" i="6"/>
  <c r="Y52" i="6"/>
  <c r="AD51" i="6"/>
  <c r="AC51" i="6"/>
  <c r="AA51" i="6"/>
  <c r="Y51" i="6"/>
  <c r="AD50" i="6"/>
  <c r="AC50" i="6"/>
  <c r="AA50" i="6"/>
  <c r="Y50" i="6"/>
  <c r="AD49" i="6"/>
  <c r="AC49" i="6"/>
  <c r="AA49" i="6"/>
  <c r="Y49" i="6"/>
  <c r="AF51" i="39"/>
  <c r="AG51" i="39" s="1"/>
  <c r="F40" i="4" s="1"/>
  <c r="Y32" i="39"/>
  <c r="AF52" i="39"/>
  <c r="AG52" i="39" s="1"/>
  <c r="F63" i="4" s="1"/>
  <c r="AE48" i="39"/>
  <c r="AC48" i="39"/>
  <c r="AF48" i="39" s="1"/>
  <c r="AG48" i="39" s="1"/>
  <c r="AE47" i="39"/>
  <c r="AC47" i="39"/>
  <c r="AF47" i="39" s="1"/>
  <c r="AG47" i="39" s="1"/>
  <c r="AE46" i="39"/>
  <c r="AC46" i="39"/>
  <c r="AF46" i="39" s="1"/>
  <c r="AG46" i="39" s="1"/>
  <c r="AE45" i="39"/>
  <c r="AC45" i="39"/>
  <c r="AF45" i="39" s="1"/>
  <c r="AG45" i="39" s="1"/>
  <c r="AE44" i="39"/>
  <c r="AC44" i="39"/>
  <c r="AF44" i="39" s="1"/>
  <c r="AG44" i="39" s="1"/>
  <c r="AE43" i="39"/>
  <c r="AC43" i="39"/>
  <c r="AF43" i="39" s="1"/>
  <c r="AG43" i="39" s="1"/>
  <c r="AE42" i="39"/>
  <c r="AC42" i="39"/>
  <c r="AF42" i="39" s="1"/>
  <c r="AG42" i="39" s="1"/>
  <c r="AE41" i="39"/>
  <c r="AC41" i="39"/>
  <c r="AF41" i="39" s="1"/>
  <c r="AG41" i="39" s="1"/>
  <c r="AE40" i="39"/>
  <c r="AC40" i="39"/>
  <c r="AF40" i="39" s="1"/>
  <c r="AG40" i="39" s="1"/>
  <c r="AE39" i="39"/>
  <c r="N32" i="39"/>
  <c r="T48" i="39"/>
  <c r="R48" i="39"/>
  <c r="U48" i="39" s="1"/>
  <c r="V48" i="39" s="1"/>
  <c r="T47" i="39"/>
  <c r="R47" i="39"/>
  <c r="U47" i="39" s="1"/>
  <c r="V47" i="39" s="1"/>
  <c r="T46" i="39"/>
  <c r="R46" i="39"/>
  <c r="U46" i="39" s="1"/>
  <c r="V46" i="39" s="1"/>
  <c r="T45" i="39"/>
  <c r="R45" i="39"/>
  <c r="U45" i="39" s="1"/>
  <c r="V45" i="39" s="1"/>
  <c r="T44" i="39"/>
  <c r="R44" i="39"/>
  <c r="U44" i="39" s="1"/>
  <c r="V44" i="39" s="1"/>
  <c r="T43" i="39"/>
  <c r="R43" i="39"/>
  <c r="U43" i="39" s="1"/>
  <c r="V43" i="39" s="1"/>
  <c r="T42" i="39"/>
  <c r="R42" i="39"/>
  <c r="U42" i="39" s="1"/>
  <c r="T41" i="39"/>
  <c r="T40" i="39"/>
  <c r="T39" i="39"/>
  <c r="E85" i="4"/>
  <c r="J53" i="39"/>
  <c r="Y34" i="8"/>
  <c r="F62" i="4"/>
  <c r="F39" i="4"/>
  <c r="AC50" i="8"/>
  <c r="AF50" i="8" s="1"/>
  <c r="AG50" i="8" s="1"/>
  <c r="AC49" i="8"/>
  <c r="AF49" i="8" s="1"/>
  <c r="AG49" i="8" s="1"/>
  <c r="AC48" i="8"/>
  <c r="AF48" i="8" s="1"/>
  <c r="AG48" i="8" s="1"/>
  <c r="AC47" i="8"/>
  <c r="AF47" i="8" s="1"/>
  <c r="AG47" i="8" s="1"/>
  <c r="AC46" i="8"/>
  <c r="AF46" i="8" s="1"/>
  <c r="AG46" i="8" s="1"/>
  <c r="AC45" i="8"/>
  <c r="AF45" i="8" s="1"/>
  <c r="AG45" i="8" s="1"/>
  <c r="AC44" i="8"/>
  <c r="AF44" i="8" s="1"/>
  <c r="AG44" i="8" s="1"/>
  <c r="AC43" i="8"/>
  <c r="AF43" i="8" s="1"/>
  <c r="AG43" i="8" s="1"/>
  <c r="AC42" i="8"/>
  <c r="AF42" i="8" s="1"/>
  <c r="AG42" i="8" s="1"/>
  <c r="AF41" i="8"/>
  <c r="AF75" i="8" s="1"/>
  <c r="AG75" i="8" s="1"/>
  <c r="F85" i="4" s="1"/>
  <c r="N34" i="8"/>
  <c r="U50" i="8"/>
  <c r="V50" i="8" s="1"/>
  <c r="U49" i="8"/>
  <c r="V49" i="8" s="1"/>
  <c r="U48" i="8"/>
  <c r="V48" i="8" s="1"/>
  <c r="U47" i="8"/>
  <c r="V47" i="8" s="1"/>
  <c r="U46" i="8"/>
  <c r="V46" i="8" s="1"/>
  <c r="U45" i="8"/>
  <c r="V45" i="8" s="1"/>
  <c r="U44" i="8"/>
  <c r="V44" i="8" s="1"/>
  <c r="U43" i="8"/>
  <c r="U42" i="8"/>
  <c r="U74" i="8" s="1"/>
  <c r="V74" i="8" s="1"/>
  <c r="U41" i="8"/>
  <c r="U23" i="7"/>
  <c r="Z44" i="7"/>
  <c r="AA44" i="7" s="1"/>
  <c r="F83" i="4" s="1"/>
  <c r="Z42" i="7"/>
  <c r="AA42" i="7" s="1"/>
  <c r="F37" i="4" s="1"/>
  <c r="Z39" i="7"/>
  <c r="AA39" i="7" s="1"/>
  <c r="Z38" i="7"/>
  <c r="AA38" i="7" s="1"/>
  <c r="Z37" i="7"/>
  <c r="AA37" i="7" s="1"/>
  <c r="Z36" i="7"/>
  <c r="AA36" i="7" s="1"/>
  <c r="Z35" i="7"/>
  <c r="AA35" i="7" s="1"/>
  <c r="Z34" i="7"/>
  <c r="AA34" i="7" s="1"/>
  <c r="Z33" i="7"/>
  <c r="AA33" i="7" s="1"/>
  <c r="Z32" i="7"/>
  <c r="AA32" i="7" s="1"/>
  <c r="Z31" i="7"/>
  <c r="AA31" i="7" s="1"/>
  <c r="Z30" i="7"/>
  <c r="Z43" i="7" s="1"/>
  <c r="AA43" i="7" s="1"/>
  <c r="F60" i="4" s="1"/>
  <c r="L23" i="7"/>
  <c r="Q39" i="7"/>
  <c r="R39" i="7" s="1"/>
  <c r="Q38" i="7"/>
  <c r="R38" i="7" s="1"/>
  <c r="Q37" i="7"/>
  <c r="R37" i="7" s="1"/>
  <c r="Q36" i="7"/>
  <c r="R36" i="7" s="1"/>
  <c r="Q35" i="7"/>
  <c r="R35" i="7" s="1"/>
  <c r="Q34" i="7"/>
  <c r="R34" i="7" s="1"/>
  <c r="Q33" i="7"/>
  <c r="Q32" i="7"/>
  <c r="R32" i="7" s="1"/>
  <c r="Q31" i="7"/>
  <c r="Q30" i="7"/>
  <c r="F73" i="4" l="1"/>
  <c r="F96" i="4"/>
  <c r="AH75" i="6"/>
  <c r="AI75" i="6" s="1"/>
  <c r="AZ77" i="6"/>
  <c r="BA77" i="6" s="1"/>
  <c r="AG50" i="6"/>
  <c r="AH50" i="6" s="1"/>
  <c r="AG58" i="6"/>
  <c r="AH58" i="6" s="1"/>
  <c r="AY54" i="6"/>
  <c r="AZ54" i="6" s="1"/>
  <c r="AZ73" i="6"/>
  <c r="BA73" i="6" s="1"/>
  <c r="AG49" i="6"/>
  <c r="AH49" i="6" s="1"/>
  <c r="AG57" i="6"/>
  <c r="AH57" i="6" s="1"/>
  <c r="AH89" i="6"/>
  <c r="AE198" i="6" s="1"/>
  <c r="E88" i="4" s="1"/>
  <c r="E96" i="4" s="1"/>
  <c r="AH93" i="6"/>
  <c r="AI93" i="6" s="1"/>
  <c r="AH108" i="6"/>
  <c r="AI108" i="6" s="1"/>
  <c r="AY50" i="6"/>
  <c r="AZ50" i="6" s="1"/>
  <c r="AH107" i="6"/>
  <c r="AI107" i="6" s="1"/>
  <c r="U72" i="19"/>
  <c r="V72" i="19" s="1"/>
  <c r="E66" i="4" s="1"/>
  <c r="U73" i="8"/>
  <c r="V73" i="8" s="1"/>
  <c r="E39" i="4" s="1"/>
  <c r="AF71" i="8"/>
  <c r="V43" i="8"/>
  <c r="U71" i="8"/>
  <c r="F41" i="4"/>
  <c r="F64" i="4"/>
  <c r="AZ74" i="6"/>
  <c r="BA74" i="6" s="1"/>
  <c r="AH72" i="6"/>
  <c r="AI72" i="6" s="1"/>
  <c r="AZ76" i="6"/>
  <c r="BA76" i="6" s="1"/>
  <c r="AH74" i="6"/>
  <c r="AI74" i="6" s="1"/>
  <c r="AY49" i="6"/>
  <c r="AZ49" i="6" s="1"/>
  <c r="AY55" i="6"/>
  <c r="AZ55" i="6" s="1"/>
  <c r="AY58" i="6"/>
  <c r="AZ58" i="6" s="1"/>
  <c r="AG54" i="6"/>
  <c r="AH54" i="6" s="1"/>
  <c r="AG53" i="6"/>
  <c r="AH53" i="6" s="1"/>
  <c r="AG56" i="6"/>
  <c r="AH56" i="6" s="1"/>
  <c r="AY53" i="6"/>
  <c r="AZ53" i="6" s="1"/>
  <c r="AY56" i="6"/>
  <c r="AZ56" i="6" s="1"/>
  <c r="AY51" i="6"/>
  <c r="AZ51" i="6" s="1"/>
  <c r="AY57" i="6"/>
  <c r="AZ57" i="6" s="1"/>
  <c r="AY52" i="6"/>
  <c r="AZ52" i="6" s="1"/>
  <c r="V38" i="37"/>
  <c r="U71" i="37"/>
  <c r="V71" i="37" s="1"/>
  <c r="E67" i="4" s="1"/>
  <c r="AH76" i="6"/>
  <c r="AI76" i="6" s="1"/>
  <c r="AH91" i="6"/>
  <c r="AI91" i="6" s="1"/>
  <c r="AZ69" i="6"/>
  <c r="BA69" i="6" s="1"/>
  <c r="AZ106" i="6"/>
  <c r="BA106" i="6" s="1"/>
  <c r="AZ110" i="6"/>
  <c r="BA110" i="6" s="1"/>
  <c r="AZ114" i="6"/>
  <c r="BA114" i="6" s="1"/>
  <c r="AZ88" i="6"/>
  <c r="BA88" i="6" s="1"/>
  <c r="AZ90" i="6"/>
  <c r="BA90" i="6" s="1"/>
  <c r="AH71" i="6"/>
  <c r="AI71" i="6" s="1"/>
  <c r="AZ92" i="6"/>
  <c r="BA92" i="6" s="1"/>
  <c r="AH90" i="6"/>
  <c r="AI90" i="6" s="1"/>
  <c r="AH92" i="6"/>
  <c r="AI92" i="6" s="1"/>
  <c r="AZ72" i="6"/>
  <c r="BA72" i="6" s="1"/>
  <c r="AZ107" i="6"/>
  <c r="BA107" i="6" s="1"/>
  <c r="AZ109" i="6"/>
  <c r="BA109" i="6" s="1"/>
  <c r="AZ111" i="6"/>
  <c r="BA111" i="6" s="1"/>
  <c r="AZ113" i="6"/>
  <c r="BA113" i="6" s="1"/>
  <c r="AZ115" i="6"/>
  <c r="BA115" i="6" s="1"/>
  <c r="AH94" i="6"/>
  <c r="AI94" i="6" s="1"/>
  <c r="AZ87" i="6"/>
  <c r="BA87" i="6" s="1"/>
  <c r="AZ89" i="6"/>
  <c r="BA89" i="6" s="1"/>
  <c r="U67" i="19"/>
  <c r="V57" i="19"/>
  <c r="V67" i="19" s="1"/>
  <c r="Y41" i="38"/>
  <c r="AZ112" i="6"/>
  <c r="BA112" i="6" s="1"/>
  <c r="AG55" i="6"/>
  <c r="AH55" i="6" s="1"/>
  <c r="AH73" i="6"/>
  <c r="AI73" i="6" s="1"/>
  <c r="AZ75" i="6"/>
  <c r="BA75" i="6" s="1"/>
  <c r="AH95" i="6"/>
  <c r="AI95" i="6" s="1"/>
  <c r="AH106" i="6"/>
  <c r="AI106" i="6" s="1"/>
  <c r="AG52" i="6"/>
  <c r="AH52" i="6" s="1"/>
  <c r="AH68" i="6"/>
  <c r="AI68" i="6" s="1"/>
  <c r="AH77" i="6"/>
  <c r="AI77" i="6" s="1"/>
  <c r="AH110" i="6"/>
  <c r="AI110" i="6" s="1"/>
  <c r="AH112" i="6"/>
  <c r="AI112" i="6" s="1"/>
  <c r="AH114" i="6"/>
  <c r="AI114" i="6" s="1"/>
  <c r="AZ70" i="6"/>
  <c r="BA70" i="6" s="1"/>
  <c r="AZ93" i="6"/>
  <c r="BA93" i="6" s="1"/>
  <c r="AH96" i="6"/>
  <c r="AI96" i="6" s="1"/>
  <c r="AZ108" i="6"/>
  <c r="BA108" i="6" s="1"/>
  <c r="AG51" i="6"/>
  <c r="AH51" i="6" s="1"/>
  <c r="AH87" i="6"/>
  <c r="AI87" i="6" s="1"/>
  <c r="AH109" i="6"/>
  <c r="AI109" i="6" s="1"/>
  <c r="AH111" i="6"/>
  <c r="AI111" i="6" s="1"/>
  <c r="AH113" i="6"/>
  <c r="AI113" i="6" s="1"/>
  <c r="AH115" i="6"/>
  <c r="AI115" i="6" s="1"/>
  <c r="AZ71" i="6"/>
  <c r="BA71" i="6" s="1"/>
  <c r="AZ94" i="6"/>
  <c r="BA94" i="6" s="1"/>
  <c r="AG67" i="19"/>
  <c r="V56" i="37"/>
  <c r="V66" i="37" s="1"/>
  <c r="U66" i="37"/>
  <c r="AF66" i="37"/>
  <c r="AG56" i="37"/>
  <c r="AG66" i="37" s="1"/>
  <c r="AM41" i="20"/>
  <c r="AO53" i="17"/>
  <c r="AP43" i="17"/>
  <c r="AP53" i="17" s="1"/>
  <c r="F18" i="4" s="1"/>
  <c r="AF47" i="37"/>
  <c r="AA53" i="17"/>
  <c r="AB43" i="17"/>
  <c r="AB53" i="17" s="1"/>
  <c r="E18" i="4" s="1"/>
  <c r="AF48" i="19"/>
  <c r="AG39" i="19"/>
  <c r="AG48" i="19" s="1"/>
  <c r="V37" i="37"/>
  <c r="U68" i="37"/>
  <c r="U47" i="37"/>
  <c r="Z41" i="20"/>
  <c r="Z41" i="38"/>
  <c r="U48" i="19"/>
  <c r="V38" i="19"/>
  <c r="V48" i="19" s="1"/>
  <c r="AM41" i="38"/>
  <c r="AF68" i="37"/>
  <c r="AF67" i="19"/>
  <c r="AG37" i="37"/>
  <c r="AL41" i="38"/>
  <c r="Y41" i="20"/>
  <c r="AW124" i="6"/>
  <c r="AW134" i="6" s="1"/>
  <c r="AV134" i="6"/>
  <c r="AY172" i="6"/>
  <c r="AZ162" i="6"/>
  <c r="AZ172" i="6" s="1"/>
  <c r="BA172" i="6"/>
  <c r="BB162" i="6"/>
  <c r="BB172" i="6" s="1"/>
  <c r="AV191" i="6"/>
  <c r="AW153" i="6"/>
  <c r="AW181" i="6"/>
  <c r="AW191" i="6" s="1"/>
  <c r="AV153" i="6"/>
  <c r="AG172" i="6"/>
  <c r="AH162" i="6"/>
  <c r="AH172" i="6" s="1"/>
  <c r="AH88" i="6"/>
  <c r="AI88" i="6" s="1"/>
  <c r="AH69" i="6"/>
  <c r="AI69" i="6" s="1"/>
  <c r="AH70" i="6"/>
  <c r="AI70" i="6" s="1"/>
  <c r="AE124" i="6"/>
  <c r="AE134" i="6" s="1"/>
  <c r="AD134" i="6"/>
  <c r="AD191" i="6"/>
  <c r="AE143" i="6"/>
  <c r="AE153" i="6" s="1"/>
  <c r="AD153" i="6"/>
  <c r="AE197" i="6"/>
  <c r="E65" i="4" s="1"/>
  <c r="AI172" i="6"/>
  <c r="AJ162" i="6"/>
  <c r="AJ172" i="6" s="1"/>
  <c r="AE181" i="6"/>
  <c r="AE191" i="6" s="1"/>
  <c r="AE196" i="6"/>
  <c r="E42" i="4" s="1"/>
  <c r="E50" i="4" s="1"/>
  <c r="AI89" i="6"/>
  <c r="V42" i="39"/>
  <c r="AF51" i="8"/>
  <c r="AG41" i="8"/>
  <c r="V41" i="8"/>
  <c r="U51" i="8"/>
  <c r="V42" i="8"/>
  <c r="E62" i="4"/>
  <c r="AA30" i="7"/>
  <c r="AA40" i="7" s="1"/>
  <c r="F10" i="4" s="1"/>
  <c r="Z40" i="7"/>
  <c r="R33" i="7"/>
  <c r="Q44" i="7"/>
  <c r="R44" i="7" s="1"/>
  <c r="E83" i="4" s="1"/>
  <c r="Q40" i="7"/>
  <c r="R30" i="7"/>
  <c r="Q42" i="7"/>
  <c r="R42" i="7" s="1"/>
  <c r="E37" i="4" s="1"/>
  <c r="R31" i="7"/>
  <c r="Q43" i="7"/>
  <c r="R43" i="7" s="1"/>
  <c r="E60" i="4" s="1"/>
  <c r="E73" i="4" l="1"/>
  <c r="AG51" i="8"/>
  <c r="AG71" i="8"/>
  <c r="F12" i="4" s="1"/>
  <c r="V71" i="8"/>
  <c r="E12" i="4" s="1"/>
  <c r="BA78" i="6"/>
  <c r="AG59" i="6"/>
  <c r="AZ59" i="6"/>
  <c r="AY59" i="6"/>
  <c r="BA116" i="6"/>
  <c r="AZ97" i="6"/>
  <c r="AH59" i="6"/>
  <c r="AH116" i="6"/>
  <c r="AI116" i="6"/>
  <c r="BA97" i="6"/>
  <c r="R40" i="7"/>
  <c r="E10" i="4" s="1"/>
  <c r="AG69" i="19"/>
  <c r="F16" i="4" s="1"/>
  <c r="U69" i="19"/>
  <c r="V69" i="19"/>
  <c r="E16" i="4" s="1"/>
  <c r="AF69" i="19"/>
  <c r="AZ78" i="6"/>
  <c r="AZ116" i="6"/>
  <c r="AH78" i="6"/>
  <c r="AI78" i="6"/>
  <c r="V47" i="37"/>
  <c r="V68" i="37"/>
  <c r="E17" i="4" s="1"/>
  <c r="AG68" i="37"/>
  <c r="F17" i="4" s="1"/>
  <c r="AG47" i="37"/>
  <c r="AH97" i="6"/>
  <c r="AI97" i="6"/>
  <c r="V51" i="8"/>
  <c r="G40" i="19"/>
  <c r="G41" i="19"/>
  <c r="G42" i="19"/>
  <c r="G43" i="19"/>
  <c r="G44" i="19"/>
  <c r="G45" i="19"/>
  <c r="G46" i="19"/>
  <c r="G47" i="19"/>
  <c r="G38" i="19"/>
  <c r="AW193" i="6" l="1"/>
  <c r="F15" i="4" s="1"/>
  <c r="AD193" i="6"/>
  <c r="AV193" i="6"/>
  <c r="AE193" i="6"/>
  <c r="E15" i="4" s="1"/>
  <c r="C78" i="36"/>
  <c r="C77" i="36"/>
  <c r="R39" i="39" s="1"/>
  <c r="U39" i="39" s="1"/>
  <c r="C76" i="36"/>
  <c r="C75" i="36"/>
  <c r="C74" i="36"/>
  <c r="AC39" i="39" s="1"/>
  <c r="AF39" i="39" s="1"/>
  <c r="C73" i="36"/>
  <c r="R40" i="39" s="1"/>
  <c r="U40" i="39" s="1"/>
  <c r="C71" i="36"/>
  <c r="C70" i="36"/>
  <c r="F23" i="4" l="1"/>
  <c r="AC10" i="4" s="1"/>
  <c r="E23" i="4"/>
  <c r="AB10" i="4" s="1"/>
  <c r="U52" i="39"/>
  <c r="V52" i="39" s="1"/>
  <c r="E63" i="4" s="1"/>
  <c r="E64" i="4" s="1"/>
  <c r="V40" i="39"/>
  <c r="AF53" i="39"/>
  <c r="AG53" i="39" s="1"/>
  <c r="F86" i="4" s="1"/>
  <c r="F87" i="4" s="1"/>
  <c r="AG39" i="39"/>
  <c r="AG49" i="39" s="1"/>
  <c r="F13" i="4" s="1"/>
  <c r="AF49" i="39"/>
  <c r="V39" i="39"/>
  <c r="U51" i="39"/>
  <c r="V51" i="39" s="1"/>
  <c r="E40" i="4" s="1"/>
  <c r="E41" i="4" s="1"/>
  <c r="C87" i="33"/>
  <c r="C82" i="33"/>
  <c r="F14" i="4" l="1"/>
  <c r="AC8" i="4" s="1"/>
  <c r="AB14" i="4"/>
  <c r="AB15" i="4"/>
  <c r="AB16" i="4"/>
  <c r="AB17" i="4"/>
  <c r="AB18" i="4"/>
  <c r="AB13" i="4"/>
  <c r="AB12" i="4"/>
  <c r="AB11" i="4"/>
  <c r="AC18" i="4"/>
  <c r="AC14" i="4"/>
  <c r="AC15" i="4"/>
  <c r="AC16" i="4"/>
  <c r="AC17" i="4"/>
  <c r="AC13" i="4"/>
  <c r="AC12" i="4"/>
  <c r="AC11" i="4"/>
  <c r="L107" i="6"/>
  <c r="L108" i="6"/>
  <c r="L109" i="6"/>
  <c r="L110" i="6"/>
  <c r="L111" i="6"/>
  <c r="L112" i="6"/>
  <c r="L113" i="6"/>
  <c r="L114" i="6"/>
  <c r="L115" i="6"/>
  <c r="L106" i="6"/>
  <c r="L89" i="6"/>
  <c r="L88" i="6"/>
  <c r="L90" i="6"/>
  <c r="L91" i="6"/>
  <c r="L92" i="6"/>
  <c r="L93" i="6"/>
  <c r="L94" i="6"/>
  <c r="L95" i="6"/>
  <c r="L96" i="6"/>
  <c r="L87" i="6"/>
  <c r="L70" i="6"/>
  <c r="L69" i="6"/>
  <c r="L71" i="6"/>
  <c r="L72" i="6"/>
  <c r="L73" i="6"/>
  <c r="L74" i="6"/>
  <c r="L75" i="6"/>
  <c r="L76" i="6"/>
  <c r="L77" i="6"/>
  <c r="L68" i="6"/>
  <c r="K51" i="6"/>
  <c r="K50" i="6"/>
  <c r="K52" i="6"/>
  <c r="K53" i="6"/>
  <c r="K54" i="6"/>
  <c r="K55" i="6"/>
  <c r="K56" i="6"/>
  <c r="K57" i="6"/>
  <c r="K58" i="6"/>
  <c r="AL49" i="5"/>
  <c r="F81" i="4" s="1"/>
  <c r="F84" i="4" s="1"/>
  <c r="F97" i="4" s="1"/>
  <c r="AL47" i="5"/>
  <c r="F35" i="4" s="1"/>
  <c r="F38" i="4" s="1"/>
  <c r="F51" i="4" s="1"/>
  <c r="Y49" i="5"/>
  <c r="E81" i="4" s="1"/>
  <c r="E84" i="4" s="1"/>
  <c r="AM44" i="5"/>
  <c r="AM43" i="5"/>
  <c r="AM42" i="5"/>
  <c r="AM41" i="5"/>
  <c r="AM40" i="5"/>
  <c r="AM39" i="5"/>
  <c r="AM38" i="5"/>
  <c r="AM37" i="5"/>
  <c r="AM36" i="5"/>
  <c r="AM35" i="5"/>
  <c r="Z35" i="5"/>
  <c r="Z44" i="5"/>
  <c r="Z43" i="5"/>
  <c r="Z42" i="5"/>
  <c r="Z41" i="5"/>
  <c r="Z40" i="5"/>
  <c r="Z39" i="5"/>
  <c r="Z38" i="5"/>
  <c r="Z37" i="5"/>
  <c r="Z36" i="5"/>
  <c r="M36" i="5"/>
  <c r="M37" i="5"/>
  <c r="M38" i="5"/>
  <c r="M39" i="5"/>
  <c r="M40" i="5"/>
  <c r="M41" i="5"/>
  <c r="M42" i="5"/>
  <c r="M43" i="5"/>
  <c r="M44" i="5"/>
  <c r="M35" i="5"/>
  <c r="J36" i="5"/>
  <c r="J37" i="5"/>
  <c r="J38" i="5"/>
  <c r="J39" i="5"/>
  <c r="J40" i="5"/>
  <c r="J41" i="5"/>
  <c r="J42" i="5"/>
  <c r="J43" i="5"/>
  <c r="J44" i="5"/>
  <c r="J35" i="5"/>
  <c r="G36" i="5"/>
  <c r="G37" i="5"/>
  <c r="G38" i="5"/>
  <c r="G39" i="5"/>
  <c r="G40" i="5"/>
  <c r="G41" i="5"/>
  <c r="G42" i="5"/>
  <c r="G43" i="5"/>
  <c r="G44" i="5"/>
  <c r="M44" i="38"/>
  <c r="M45" i="38"/>
  <c r="D93" i="4" s="1"/>
  <c r="M25" i="20"/>
  <c r="M26" i="20"/>
  <c r="M27" i="20"/>
  <c r="M28" i="20"/>
  <c r="M29" i="20"/>
  <c r="M30" i="20"/>
  <c r="M31" i="20"/>
  <c r="M32" i="20"/>
  <c r="M33" i="20"/>
  <c r="M34" i="20"/>
  <c r="M35" i="20"/>
  <c r="M36" i="20"/>
  <c r="M37" i="20"/>
  <c r="M38" i="20"/>
  <c r="M39" i="20"/>
  <c r="M40" i="20"/>
  <c r="AC9" i="4" l="1"/>
  <c r="AC7" i="4"/>
  <c r="AM45" i="5"/>
  <c r="AK52" i="5" s="1"/>
  <c r="M45" i="5"/>
  <c r="K52" i="5" s="1"/>
  <c r="Z45" i="5"/>
  <c r="X52" i="5" s="1"/>
  <c r="J63" i="13" l="1"/>
  <c r="J64" i="13"/>
  <c r="J65" i="13"/>
  <c r="J66" i="13"/>
  <c r="J67" i="13"/>
  <c r="J68" i="13"/>
  <c r="J69" i="13"/>
  <c r="J70" i="13"/>
  <c r="J71" i="13"/>
  <c r="G125" i="6" l="1"/>
  <c r="G126" i="6"/>
  <c r="G127" i="6"/>
  <c r="G128" i="6"/>
  <c r="G129" i="6"/>
  <c r="G130" i="6"/>
  <c r="G131" i="6"/>
  <c r="G132" i="6"/>
  <c r="G133" i="6"/>
  <c r="G124" i="6"/>
  <c r="J44" i="17"/>
  <c r="J45" i="17"/>
  <c r="J46" i="17"/>
  <c r="J47" i="17"/>
  <c r="J48" i="17"/>
  <c r="J49" i="17"/>
  <c r="J50" i="17"/>
  <c r="J51" i="17"/>
  <c r="J52" i="17"/>
  <c r="J43" i="17"/>
  <c r="G57" i="37"/>
  <c r="G58" i="37"/>
  <c r="G59" i="37"/>
  <c r="G60" i="37"/>
  <c r="G61" i="37"/>
  <c r="G62" i="37"/>
  <c r="G63" i="37"/>
  <c r="G64" i="37"/>
  <c r="G65" i="37"/>
  <c r="G56" i="37"/>
  <c r="G38" i="37"/>
  <c r="G40" i="37"/>
  <c r="G41" i="37"/>
  <c r="G42" i="37"/>
  <c r="G43" i="37"/>
  <c r="G44" i="37"/>
  <c r="G45" i="37"/>
  <c r="G46" i="37"/>
  <c r="G58" i="19"/>
  <c r="G59" i="19"/>
  <c r="G60" i="19"/>
  <c r="G61" i="19"/>
  <c r="G62" i="19"/>
  <c r="G63" i="19"/>
  <c r="G64" i="19"/>
  <c r="G65" i="19"/>
  <c r="G66" i="19"/>
  <c r="G57" i="19"/>
  <c r="I57" i="37"/>
  <c r="I58" i="37"/>
  <c r="I59" i="37"/>
  <c r="I60" i="37"/>
  <c r="I61" i="37"/>
  <c r="I62" i="37"/>
  <c r="I63" i="37"/>
  <c r="I64" i="37"/>
  <c r="I65" i="37"/>
  <c r="I38" i="37"/>
  <c r="I39" i="37"/>
  <c r="I40" i="37"/>
  <c r="I41" i="37"/>
  <c r="I42" i="37"/>
  <c r="I43" i="37"/>
  <c r="I44" i="37"/>
  <c r="I45" i="37"/>
  <c r="I46" i="37"/>
  <c r="K73" i="19"/>
  <c r="I58" i="19"/>
  <c r="I59" i="19"/>
  <c r="I60" i="19"/>
  <c r="I61" i="19"/>
  <c r="I62" i="19"/>
  <c r="I63" i="19"/>
  <c r="I64" i="19"/>
  <c r="I65" i="19"/>
  <c r="I66" i="19"/>
  <c r="J182" i="6"/>
  <c r="J183" i="6"/>
  <c r="J184" i="6"/>
  <c r="J185" i="6"/>
  <c r="J186" i="6"/>
  <c r="J187" i="6"/>
  <c r="J188" i="6"/>
  <c r="J189" i="6"/>
  <c r="J190" i="6"/>
  <c r="H182" i="6"/>
  <c r="H183" i="6"/>
  <c r="H184" i="6"/>
  <c r="H185" i="6"/>
  <c r="H186" i="6"/>
  <c r="H187" i="6"/>
  <c r="H188" i="6"/>
  <c r="H189" i="6"/>
  <c r="H190" i="6"/>
  <c r="L163" i="6"/>
  <c r="L164" i="6"/>
  <c r="L165" i="6"/>
  <c r="L166" i="6"/>
  <c r="L167" i="6"/>
  <c r="L168" i="6"/>
  <c r="L169" i="6"/>
  <c r="L170" i="6"/>
  <c r="L171" i="6"/>
  <c r="I163" i="6"/>
  <c r="I164" i="6"/>
  <c r="I165" i="6"/>
  <c r="I166" i="6"/>
  <c r="I167" i="6"/>
  <c r="I168" i="6"/>
  <c r="I169" i="6"/>
  <c r="I170" i="6"/>
  <c r="I171" i="6"/>
  <c r="H163" i="6"/>
  <c r="H164" i="6"/>
  <c r="H165" i="6"/>
  <c r="H166" i="6"/>
  <c r="H167" i="6"/>
  <c r="H168" i="6"/>
  <c r="H169" i="6"/>
  <c r="H170" i="6"/>
  <c r="H171" i="6"/>
  <c r="J144" i="6"/>
  <c r="J145" i="6"/>
  <c r="J146" i="6"/>
  <c r="J147" i="6"/>
  <c r="J148" i="6"/>
  <c r="J149" i="6"/>
  <c r="J150" i="6"/>
  <c r="J151" i="6"/>
  <c r="J152" i="6"/>
  <c r="H144" i="6"/>
  <c r="H145" i="6"/>
  <c r="H146" i="6"/>
  <c r="H147" i="6"/>
  <c r="H148" i="6"/>
  <c r="H149" i="6"/>
  <c r="H150" i="6"/>
  <c r="H151" i="6"/>
  <c r="H152" i="6"/>
  <c r="I125" i="6"/>
  <c r="I126" i="6"/>
  <c r="I127" i="6"/>
  <c r="I128" i="6"/>
  <c r="I129" i="6"/>
  <c r="I130" i="6"/>
  <c r="I131" i="6"/>
  <c r="I132" i="6"/>
  <c r="I133" i="6"/>
  <c r="M107" i="6"/>
  <c r="M108" i="6"/>
  <c r="M109" i="6"/>
  <c r="M110" i="6"/>
  <c r="M111" i="6"/>
  <c r="M112" i="6"/>
  <c r="M113" i="6"/>
  <c r="M114" i="6"/>
  <c r="M115" i="6"/>
  <c r="J108" i="6"/>
  <c r="J109" i="6"/>
  <c r="J110" i="6"/>
  <c r="J111" i="6"/>
  <c r="J112" i="6"/>
  <c r="J113" i="6"/>
  <c r="J114" i="6"/>
  <c r="J115" i="6"/>
  <c r="M88" i="6"/>
  <c r="M89" i="6"/>
  <c r="M90" i="6"/>
  <c r="M91" i="6"/>
  <c r="M92" i="6"/>
  <c r="M93" i="6"/>
  <c r="M94" i="6"/>
  <c r="M95" i="6"/>
  <c r="M96" i="6"/>
  <c r="J88" i="6"/>
  <c r="J90" i="6"/>
  <c r="J91" i="6"/>
  <c r="J92" i="6"/>
  <c r="J93" i="6"/>
  <c r="J94" i="6"/>
  <c r="J95" i="6"/>
  <c r="J96" i="6"/>
  <c r="M69" i="6"/>
  <c r="M70" i="6"/>
  <c r="M71" i="6"/>
  <c r="M72" i="6"/>
  <c r="M73" i="6"/>
  <c r="M74" i="6"/>
  <c r="M75" i="6"/>
  <c r="M76" i="6"/>
  <c r="M77" i="6"/>
  <c r="J69" i="6"/>
  <c r="J71" i="6"/>
  <c r="J72" i="6"/>
  <c r="J73" i="6"/>
  <c r="J74" i="6"/>
  <c r="J75" i="6"/>
  <c r="J76" i="6"/>
  <c r="J77" i="6"/>
  <c r="L50" i="6"/>
  <c r="L51" i="6"/>
  <c r="L52" i="6"/>
  <c r="L53" i="6"/>
  <c r="L54" i="6"/>
  <c r="L55" i="6"/>
  <c r="L56" i="6"/>
  <c r="L57" i="6"/>
  <c r="L58" i="6"/>
  <c r="I51" i="6"/>
  <c r="I52" i="6"/>
  <c r="I53" i="6"/>
  <c r="I54" i="6"/>
  <c r="I55" i="6"/>
  <c r="I56" i="6"/>
  <c r="I57" i="6"/>
  <c r="I58" i="6"/>
  <c r="I40" i="39"/>
  <c r="I41" i="39"/>
  <c r="I42" i="39"/>
  <c r="I43" i="39"/>
  <c r="I44" i="39"/>
  <c r="I45" i="39"/>
  <c r="I46" i="39"/>
  <c r="I47" i="39"/>
  <c r="I48" i="39"/>
  <c r="I39" i="39"/>
  <c r="G43" i="39"/>
  <c r="J43" i="39" s="1"/>
  <c r="K43" i="39" s="1"/>
  <c r="G44" i="39"/>
  <c r="J44" i="39" s="1"/>
  <c r="K44" i="39" s="1"/>
  <c r="G45" i="39"/>
  <c r="J45" i="39" s="1"/>
  <c r="K45" i="39" s="1"/>
  <c r="G46" i="39"/>
  <c r="J46" i="39" s="1"/>
  <c r="K46" i="39" s="1"/>
  <c r="G47" i="39"/>
  <c r="J47" i="39" s="1"/>
  <c r="K47" i="39" s="1"/>
  <c r="G48" i="39"/>
  <c r="J48" i="39" s="1"/>
  <c r="K48" i="39" s="1"/>
  <c r="J73" i="8"/>
  <c r="K73" i="8" l="1"/>
  <c r="D39" i="4" s="1"/>
  <c r="I124" i="6"/>
  <c r="L125" i="6"/>
  <c r="M125" i="6" s="1"/>
  <c r="L126" i="6"/>
  <c r="M126" i="6" s="1"/>
  <c r="L127" i="6"/>
  <c r="M127" i="6" s="1"/>
  <c r="L128" i="6"/>
  <c r="M128" i="6" s="1"/>
  <c r="L130" i="6"/>
  <c r="M130" i="6" s="1"/>
  <c r="L131" i="6"/>
  <c r="M131" i="6" s="1"/>
  <c r="L132" i="6"/>
  <c r="M132" i="6" s="1"/>
  <c r="L133" i="6"/>
  <c r="M133" i="6" s="1"/>
  <c r="L124" i="6"/>
  <c r="M124" i="6" s="1"/>
  <c r="L129" i="6"/>
  <c r="M129" i="6" s="1"/>
  <c r="M134" i="6" l="1"/>
  <c r="G42" i="39"/>
  <c r="J42" i="39" s="1"/>
  <c r="L134" i="6"/>
  <c r="K42" i="39" l="1"/>
  <c r="J62" i="13"/>
  <c r="J68" i="6" l="1"/>
  <c r="H181" i="6"/>
  <c r="I162" i="6"/>
  <c r="H162" i="6"/>
  <c r="H143" i="6"/>
  <c r="I37" i="37"/>
  <c r="G37" i="37" l="1"/>
  <c r="G39" i="37" l="1"/>
  <c r="G39" i="19"/>
  <c r="I49" i="6"/>
  <c r="J89" i="6" l="1"/>
  <c r="G63" i="13" l="1"/>
  <c r="G64" i="13"/>
  <c r="G65" i="13"/>
  <c r="G66" i="13"/>
  <c r="G67" i="13"/>
  <c r="G68" i="13"/>
  <c r="G69" i="13"/>
  <c r="G70" i="13"/>
  <c r="G71" i="13"/>
  <c r="G62" i="13"/>
  <c r="G45" i="13"/>
  <c r="G46" i="13"/>
  <c r="G47" i="13"/>
  <c r="G48" i="13"/>
  <c r="G49" i="13"/>
  <c r="G50" i="13"/>
  <c r="G51" i="13"/>
  <c r="G52" i="13"/>
  <c r="G53" i="13"/>
  <c r="K40" i="5" l="1"/>
  <c r="L40" i="5" s="1"/>
  <c r="K41" i="5"/>
  <c r="L41" i="5" s="1"/>
  <c r="K35" i="5"/>
  <c r="K37" i="5"/>
  <c r="L37" i="5" l="1"/>
  <c r="L35" i="5"/>
  <c r="C32" i="39"/>
  <c r="G107" i="6"/>
  <c r="G108" i="6"/>
  <c r="G109" i="6"/>
  <c r="G110" i="6"/>
  <c r="G111" i="6"/>
  <c r="G112" i="6"/>
  <c r="G113" i="6"/>
  <c r="G114" i="6"/>
  <c r="G115" i="6"/>
  <c r="G106" i="6"/>
  <c r="M106" i="6"/>
  <c r="M87" i="6"/>
  <c r="P109" i="6" l="1"/>
  <c r="Q109" i="6" s="1"/>
  <c r="P110" i="6"/>
  <c r="Q110" i="6" s="1"/>
  <c r="P113" i="6"/>
  <c r="Q113" i="6" s="1"/>
  <c r="P114" i="6"/>
  <c r="Q114" i="6" s="1"/>
  <c r="P111" i="6"/>
  <c r="Q111" i="6" s="1"/>
  <c r="P115" i="6"/>
  <c r="Q115" i="6" s="1"/>
  <c r="P112" i="6"/>
  <c r="Q112" i="6" s="1"/>
  <c r="P108" i="6"/>
  <c r="Q108" i="6" s="1"/>
  <c r="M68" i="6"/>
  <c r="L49" i="6"/>
  <c r="G96" i="6" l="1"/>
  <c r="P96" i="6" s="1"/>
  <c r="Q96" i="6" s="1"/>
  <c r="G95" i="6"/>
  <c r="P95" i="6" s="1"/>
  <c r="Q95" i="6" s="1"/>
  <c r="G94" i="6"/>
  <c r="P94" i="6" s="1"/>
  <c r="Q94" i="6" s="1"/>
  <c r="G93" i="6"/>
  <c r="P93" i="6" s="1"/>
  <c r="Q93" i="6" s="1"/>
  <c r="G92" i="6"/>
  <c r="P92" i="6" s="1"/>
  <c r="Q92" i="6" s="1"/>
  <c r="G91" i="6"/>
  <c r="G90" i="6"/>
  <c r="P90" i="6" s="1"/>
  <c r="Q90" i="6" s="1"/>
  <c r="G89" i="6"/>
  <c r="G88" i="6"/>
  <c r="G87" i="6"/>
  <c r="C77" i="4" l="1"/>
  <c r="H80" i="4"/>
  <c r="G80" i="4"/>
  <c r="F80" i="4"/>
  <c r="E80" i="4"/>
  <c r="D80" i="4"/>
  <c r="C54" i="4"/>
  <c r="H57" i="4"/>
  <c r="G57" i="4"/>
  <c r="F57" i="4"/>
  <c r="E57" i="4"/>
  <c r="D57" i="4"/>
  <c r="C31" i="4"/>
  <c r="C3" i="4"/>
  <c r="P55" i="21" l="1"/>
  <c r="P54" i="21"/>
  <c r="D71" i="4" s="1"/>
  <c r="P53" i="21"/>
  <c r="D48" i="4" s="1"/>
  <c r="X39" i="5"/>
  <c r="Y39" i="5" s="1"/>
  <c r="AK39" i="5"/>
  <c r="AL39" i="5" s="1"/>
  <c r="K39" i="5"/>
  <c r="L39" i="5" s="1"/>
  <c r="K44" i="13"/>
  <c r="H34" i="4"/>
  <c r="G34" i="4"/>
  <c r="F34" i="4"/>
  <c r="E34" i="4"/>
  <c r="D34" i="4"/>
  <c r="H7" i="4"/>
  <c r="AE2" i="4" s="1"/>
  <c r="G7" i="4"/>
  <c r="AD2" i="4" s="1"/>
  <c r="F7" i="4"/>
  <c r="AC2" i="4" s="1"/>
  <c r="E7" i="4"/>
  <c r="AB2" i="4" s="1"/>
  <c r="D7" i="4"/>
  <c r="AA2" i="4" s="1"/>
  <c r="L44" i="13" l="1"/>
  <c r="M45" i="20"/>
  <c r="N57" i="17"/>
  <c r="K72" i="37"/>
  <c r="L49" i="5"/>
  <c r="D81" i="4" s="1"/>
  <c r="L23" i="38"/>
  <c r="M23" i="38" s="1"/>
  <c r="L24" i="38"/>
  <c r="M24" i="38" s="1"/>
  <c r="L25" i="38"/>
  <c r="M25" i="38" s="1"/>
  <c r="L26" i="38"/>
  <c r="M26" i="38" s="1"/>
  <c r="L27" i="38"/>
  <c r="M27" i="38" s="1"/>
  <c r="L28" i="38"/>
  <c r="M28" i="38" s="1"/>
  <c r="L29" i="38"/>
  <c r="M29" i="38" s="1"/>
  <c r="L30" i="38"/>
  <c r="M30" i="38" s="1"/>
  <c r="L31" i="38"/>
  <c r="M31" i="38" s="1"/>
  <c r="L32" i="38"/>
  <c r="M32" i="38" s="1"/>
  <c r="L33" i="38"/>
  <c r="M33" i="38" s="1"/>
  <c r="L34" i="38"/>
  <c r="M34" i="38" s="1"/>
  <c r="L35" i="38"/>
  <c r="M35" i="38" s="1"/>
  <c r="L36" i="38"/>
  <c r="M36" i="38" s="1"/>
  <c r="L37" i="38"/>
  <c r="M37" i="38" s="1"/>
  <c r="L38" i="38"/>
  <c r="M38" i="38" s="1"/>
  <c r="L39" i="38"/>
  <c r="M39" i="38" s="1"/>
  <c r="L40" i="38"/>
  <c r="M40" i="38" s="1"/>
  <c r="L22" i="38"/>
  <c r="L23" i="20"/>
  <c r="M23" i="20" s="1"/>
  <c r="L24" i="20"/>
  <c r="L25" i="20"/>
  <c r="L26" i="20"/>
  <c r="L27" i="20"/>
  <c r="L28" i="20"/>
  <c r="L29" i="20"/>
  <c r="L30" i="20"/>
  <c r="L31" i="20"/>
  <c r="L32" i="20"/>
  <c r="L33" i="20"/>
  <c r="L34" i="20"/>
  <c r="L35" i="20"/>
  <c r="L36" i="20"/>
  <c r="L37" i="20"/>
  <c r="L38" i="20"/>
  <c r="L39" i="20"/>
  <c r="L40" i="20"/>
  <c r="L22" i="20"/>
  <c r="M22" i="20" s="1"/>
  <c r="M43" i="17"/>
  <c r="L43" i="17"/>
  <c r="L45" i="17"/>
  <c r="L46" i="17"/>
  <c r="L47" i="17"/>
  <c r="L48" i="17"/>
  <c r="L49" i="17"/>
  <c r="L50" i="17"/>
  <c r="L51" i="17"/>
  <c r="L52" i="17"/>
  <c r="L44" i="17"/>
  <c r="M45" i="17"/>
  <c r="N45" i="17" s="1"/>
  <c r="M46" i="17"/>
  <c r="M47" i="17"/>
  <c r="N47" i="17" s="1"/>
  <c r="M48" i="17"/>
  <c r="N48" i="17" s="1"/>
  <c r="M49" i="17"/>
  <c r="N49" i="17" s="1"/>
  <c r="M50" i="17"/>
  <c r="N50" i="17" s="1"/>
  <c r="M51" i="17"/>
  <c r="N51" i="17" s="1"/>
  <c r="M52" i="17"/>
  <c r="N52" i="17" s="1"/>
  <c r="M44" i="17"/>
  <c r="N44" i="17" s="1"/>
  <c r="N46" i="17" l="1"/>
  <c r="M56" i="17"/>
  <c r="N43" i="17"/>
  <c r="M55" i="17"/>
  <c r="L43" i="38"/>
  <c r="M43" i="38" s="1"/>
  <c r="D47" i="4" s="1"/>
  <c r="M22" i="38"/>
  <c r="M24" i="20"/>
  <c r="M44" i="20"/>
  <c r="D69" i="4" s="1"/>
  <c r="D70" i="4"/>
  <c r="M43" i="20" l="1"/>
  <c r="D46" i="4" s="1"/>
  <c r="N56" i="17"/>
  <c r="D68" i="4" s="1"/>
  <c r="N55" i="17"/>
  <c r="D45" i="4" s="1"/>
  <c r="N53" i="17"/>
  <c r="D18" i="4" s="1"/>
  <c r="M53" i="17"/>
  <c r="M41" i="38"/>
  <c r="D20" i="4" s="1"/>
  <c r="L41" i="38"/>
  <c r="C17" i="38"/>
  <c r="I56" i="37" l="1"/>
  <c r="I57" i="19"/>
  <c r="L184" i="6"/>
  <c r="M184" i="6" s="1"/>
  <c r="O162" i="6"/>
  <c r="P162" i="6" s="1"/>
  <c r="Q162" i="6"/>
  <c r="R162" i="6" s="1"/>
  <c r="Q163" i="6"/>
  <c r="R163" i="6" s="1"/>
  <c r="Q164" i="6"/>
  <c r="R164" i="6" s="1"/>
  <c r="Q165" i="6"/>
  <c r="R165" i="6" s="1"/>
  <c r="Q166" i="6"/>
  <c r="R166" i="6" s="1"/>
  <c r="Q167" i="6"/>
  <c r="R167" i="6" s="1"/>
  <c r="Q168" i="6"/>
  <c r="R168" i="6" s="1"/>
  <c r="Q169" i="6"/>
  <c r="R169" i="6" s="1"/>
  <c r="Q170" i="6"/>
  <c r="R170" i="6" s="1"/>
  <c r="Q171" i="6"/>
  <c r="R171" i="6" s="1"/>
  <c r="R172" i="6" l="1"/>
  <c r="Q172" i="6"/>
  <c r="G68" i="6"/>
  <c r="P68" i="6" s="1"/>
  <c r="Q68" i="6" s="1"/>
  <c r="G69" i="6"/>
  <c r="G70" i="6"/>
  <c r="G71" i="6"/>
  <c r="P71" i="6" s="1"/>
  <c r="Q71" i="6" s="1"/>
  <c r="G72" i="6"/>
  <c r="P72" i="6" s="1"/>
  <c r="Q72" i="6" s="1"/>
  <c r="G73" i="6"/>
  <c r="P73" i="6" s="1"/>
  <c r="Q73" i="6" s="1"/>
  <c r="G74" i="6"/>
  <c r="P74" i="6" s="1"/>
  <c r="Q74" i="6" s="1"/>
  <c r="G75" i="6"/>
  <c r="P75" i="6" s="1"/>
  <c r="Q75" i="6" s="1"/>
  <c r="G76" i="6"/>
  <c r="P76" i="6" s="1"/>
  <c r="Q76" i="6" s="1"/>
  <c r="G77" i="6"/>
  <c r="P77" i="6" s="1"/>
  <c r="Q77" i="6" s="1"/>
  <c r="G50" i="6" l="1"/>
  <c r="G51" i="6"/>
  <c r="G52" i="6"/>
  <c r="G53" i="6"/>
  <c r="G54" i="6"/>
  <c r="G55" i="6"/>
  <c r="G56" i="6"/>
  <c r="G57" i="6"/>
  <c r="G58" i="6"/>
  <c r="G49" i="6"/>
  <c r="O53" i="6" l="1"/>
  <c r="P53" i="6" s="1"/>
  <c r="O54" i="6"/>
  <c r="P54" i="6" s="1"/>
  <c r="O55" i="6"/>
  <c r="P55" i="6" s="1"/>
  <c r="O56" i="6"/>
  <c r="P56" i="6" s="1"/>
  <c r="O57" i="6"/>
  <c r="P57" i="6" s="1"/>
  <c r="O58" i="6"/>
  <c r="P58" i="6" s="1"/>
  <c r="L181" i="6"/>
  <c r="I50" i="6"/>
  <c r="M181" i="6" l="1"/>
  <c r="O52" i="6"/>
  <c r="P52" i="6" s="1"/>
  <c r="P89" i="6"/>
  <c r="J87" i="6"/>
  <c r="P87" i="6" s="1"/>
  <c r="Q87" i="6" s="1"/>
  <c r="O51" i="6"/>
  <c r="P51" i="6" s="1"/>
  <c r="Q89" i="6" l="1"/>
  <c r="J70" i="6"/>
  <c r="P70" i="6" s="1"/>
  <c r="Q70" i="6" s="1"/>
  <c r="J107" i="6"/>
  <c r="P107" i="6" s="1"/>
  <c r="J106" i="6"/>
  <c r="P106" i="6" s="1"/>
  <c r="P88" i="6"/>
  <c r="Q88" i="6" s="1"/>
  <c r="O50" i="6"/>
  <c r="P50" i="6" s="1"/>
  <c r="P69" i="6"/>
  <c r="O49" i="6"/>
  <c r="Q106" i="6" l="1"/>
  <c r="Q107" i="6"/>
  <c r="P49" i="6"/>
  <c r="P59" i="6" s="1"/>
  <c r="Q69" i="6"/>
  <c r="Q78" i="6" s="1"/>
  <c r="P116" i="6"/>
  <c r="P91" i="6"/>
  <c r="Q91" i="6" s="1"/>
  <c r="Q97" i="6" s="1"/>
  <c r="P78" i="6"/>
  <c r="O59" i="6"/>
  <c r="J41" i="19"/>
  <c r="K41" i="19" s="1"/>
  <c r="C72" i="36"/>
  <c r="G40" i="39"/>
  <c r="J40" i="39" s="1"/>
  <c r="H27" i="4"/>
  <c r="G27" i="4"/>
  <c r="H26" i="4"/>
  <c r="J181" i="6"/>
  <c r="G26" i="4"/>
  <c r="L182" i="6"/>
  <c r="L183" i="6"/>
  <c r="M183" i="6" s="1"/>
  <c r="L185" i="6"/>
  <c r="M185" i="6" s="1"/>
  <c r="L186" i="6"/>
  <c r="M186" i="6" s="1"/>
  <c r="L187" i="6"/>
  <c r="M187" i="6" s="1"/>
  <c r="L188" i="6"/>
  <c r="M188" i="6" s="1"/>
  <c r="L189" i="6"/>
  <c r="M189" i="6" s="1"/>
  <c r="L190" i="6"/>
  <c r="M190" i="6" s="1"/>
  <c r="L162" i="6"/>
  <c r="O165" i="6"/>
  <c r="P165" i="6" s="1"/>
  <c r="O169" i="6"/>
  <c r="P169" i="6" s="1"/>
  <c r="O171" i="6"/>
  <c r="P171" i="6" s="1"/>
  <c r="J143" i="6"/>
  <c r="L144" i="6"/>
  <c r="L145" i="6"/>
  <c r="M145" i="6" s="1"/>
  <c r="L146" i="6"/>
  <c r="M146" i="6" s="1"/>
  <c r="L147" i="6"/>
  <c r="M147" i="6" s="1"/>
  <c r="L148" i="6"/>
  <c r="M148" i="6" s="1"/>
  <c r="L149" i="6"/>
  <c r="M149" i="6" s="1"/>
  <c r="L150" i="6"/>
  <c r="M150" i="6" s="1"/>
  <c r="L151" i="6"/>
  <c r="M151" i="6" s="1"/>
  <c r="L152" i="6"/>
  <c r="M152" i="6" s="1"/>
  <c r="L143" i="6"/>
  <c r="M143" i="6" s="1"/>
  <c r="J56" i="37"/>
  <c r="J57" i="37"/>
  <c r="K57" i="37" s="1"/>
  <c r="J58" i="37"/>
  <c r="J59" i="37"/>
  <c r="K59" i="37" s="1"/>
  <c r="J60" i="37"/>
  <c r="K60" i="37" s="1"/>
  <c r="J61" i="37"/>
  <c r="K61" i="37" s="1"/>
  <c r="J62" i="37"/>
  <c r="K62" i="37" s="1"/>
  <c r="J63" i="37"/>
  <c r="K63" i="37" s="1"/>
  <c r="J64" i="37"/>
  <c r="K64" i="37" s="1"/>
  <c r="J65" i="37"/>
  <c r="K65" i="37" s="1"/>
  <c r="J38" i="37"/>
  <c r="K38" i="37" s="1"/>
  <c r="J39" i="37"/>
  <c r="K39" i="37" s="1"/>
  <c r="J40" i="37"/>
  <c r="K40" i="37" s="1"/>
  <c r="J41" i="37"/>
  <c r="K41" i="37" s="1"/>
  <c r="J42" i="37"/>
  <c r="K42" i="37" s="1"/>
  <c r="J43" i="37"/>
  <c r="K43" i="37" s="1"/>
  <c r="J44" i="37"/>
  <c r="K44" i="37" s="1"/>
  <c r="J45" i="37"/>
  <c r="K45" i="37" s="1"/>
  <c r="J46" i="37"/>
  <c r="K46" i="37" s="1"/>
  <c r="J37" i="37"/>
  <c r="K37" i="37" s="1"/>
  <c r="J44" i="8"/>
  <c r="K44" i="8" s="1"/>
  <c r="J45" i="8"/>
  <c r="K45" i="8" s="1"/>
  <c r="J46" i="8"/>
  <c r="K46" i="8" s="1"/>
  <c r="J47" i="8"/>
  <c r="K47" i="8" s="1"/>
  <c r="J48" i="8"/>
  <c r="K48" i="8" s="1"/>
  <c r="J49" i="8"/>
  <c r="K49" i="8" s="1"/>
  <c r="J50" i="8"/>
  <c r="K50" i="8" s="1"/>
  <c r="J40" i="19"/>
  <c r="J39" i="19"/>
  <c r="K39" i="19" s="1"/>
  <c r="K40" i="19" l="1"/>
  <c r="J72" i="19"/>
  <c r="R41" i="39"/>
  <c r="U41" i="39" s="1"/>
  <c r="V41" i="39" s="1"/>
  <c r="V49" i="39" s="1"/>
  <c r="E13" i="4" s="1"/>
  <c r="G39" i="39"/>
  <c r="J39" i="39" s="1"/>
  <c r="M196" i="6"/>
  <c r="D42" i="4" s="1"/>
  <c r="Q116" i="6"/>
  <c r="K58" i="37"/>
  <c r="J71" i="37"/>
  <c r="K56" i="37"/>
  <c r="J70" i="37"/>
  <c r="M144" i="6"/>
  <c r="M153" i="6" s="1"/>
  <c r="M198" i="6"/>
  <c r="M182" i="6"/>
  <c r="M191" i="6" s="1"/>
  <c r="L191" i="6"/>
  <c r="K40" i="39"/>
  <c r="P97" i="6"/>
  <c r="J47" i="37"/>
  <c r="J68" i="37"/>
  <c r="J66" i="37"/>
  <c r="L153" i="6"/>
  <c r="O167" i="6"/>
  <c r="P167" i="6" s="1"/>
  <c r="O164" i="6"/>
  <c r="P164" i="6" s="1"/>
  <c r="O168" i="6"/>
  <c r="P168" i="6" s="1"/>
  <c r="O166" i="6"/>
  <c r="P166" i="6" s="1"/>
  <c r="O163" i="6"/>
  <c r="O170" i="6"/>
  <c r="P170" i="6" s="1"/>
  <c r="G41" i="39"/>
  <c r="J41" i="39" s="1"/>
  <c r="J52" i="39" s="1"/>
  <c r="K52" i="39" s="1"/>
  <c r="D63" i="4" s="1"/>
  <c r="P51" i="21"/>
  <c r="D21" i="4" s="1"/>
  <c r="O51" i="21"/>
  <c r="M41" i="20"/>
  <c r="D19" i="4" s="1"/>
  <c r="L41" i="20"/>
  <c r="J64" i="19"/>
  <c r="K64" i="19" s="1"/>
  <c r="J65" i="19"/>
  <c r="K65" i="19" s="1"/>
  <c r="J66" i="19"/>
  <c r="K66" i="19" s="1"/>
  <c r="J58" i="19"/>
  <c r="K58" i="19" s="1"/>
  <c r="J59" i="19"/>
  <c r="K59" i="19" s="1"/>
  <c r="J60" i="19"/>
  <c r="K60" i="19" s="1"/>
  <c r="J61" i="19"/>
  <c r="K61" i="19" s="1"/>
  <c r="J62" i="19"/>
  <c r="K62" i="19" s="1"/>
  <c r="J63" i="19"/>
  <c r="K63" i="19" s="1"/>
  <c r="J57" i="19"/>
  <c r="K57" i="19" s="1"/>
  <c r="J42" i="19"/>
  <c r="K42" i="19" s="1"/>
  <c r="J43" i="19"/>
  <c r="K43" i="19" s="1"/>
  <c r="J47" i="19"/>
  <c r="K47" i="19" s="1"/>
  <c r="C36" i="17"/>
  <c r="C34" i="8"/>
  <c r="AK44" i="5"/>
  <c r="AL44" i="5" s="1"/>
  <c r="AK43" i="5"/>
  <c r="AL43" i="5" s="1"/>
  <c r="AK42" i="5"/>
  <c r="AL42" i="5" s="1"/>
  <c r="AK41" i="5"/>
  <c r="AL41" i="5" s="1"/>
  <c r="AK40" i="5"/>
  <c r="AL40" i="5" s="1"/>
  <c r="AK38" i="5"/>
  <c r="AL38" i="5" s="1"/>
  <c r="AK37" i="5"/>
  <c r="AL37" i="5" s="1"/>
  <c r="AK36" i="5"/>
  <c r="AL36" i="5" s="1"/>
  <c r="AK35" i="5"/>
  <c r="X44" i="5"/>
  <c r="Y44" i="5" s="1"/>
  <c r="X43" i="5"/>
  <c r="Y43" i="5" s="1"/>
  <c r="X42" i="5"/>
  <c r="Y42" i="5" s="1"/>
  <c r="X41" i="5"/>
  <c r="Y41" i="5" s="1"/>
  <c r="X40" i="5"/>
  <c r="Y40" i="5" s="1"/>
  <c r="X38" i="5"/>
  <c r="Y38" i="5" s="1"/>
  <c r="X37" i="5"/>
  <c r="Y37" i="5" s="1"/>
  <c r="X36" i="5"/>
  <c r="X35" i="5"/>
  <c r="Z55" i="3"/>
  <c r="Z40" i="3"/>
  <c r="O55" i="3"/>
  <c r="O40" i="3"/>
  <c r="C55" i="3"/>
  <c r="C40" i="3"/>
  <c r="E14" i="4" l="1"/>
  <c r="AB8" i="4" s="1"/>
  <c r="AL35" i="5"/>
  <c r="AL45" i="5" s="1"/>
  <c r="F8" i="4" s="1"/>
  <c r="AL48" i="5"/>
  <c r="F58" i="4" s="1"/>
  <c r="F61" i="4" s="1"/>
  <c r="F74" i="4" s="1"/>
  <c r="Y36" i="5"/>
  <c r="Y48" i="5"/>
  <c r="E58" i="4" s="1"/>
  <c r="E61" i="4" s="1"/>
  <c r="E74" i="4" s="1"/>
  <c r="U49" i="39"/>
  <c r="U53" i="39"/>
  <c r="V53" i="39" s="1"/>
  <c r="E86" i="4" s="1"/>
  <c r="E87" i="4" s="1"/>
  <c r="E97" i="4" s="1"/>
  <c r="J51" i="39"/>
  <c r="K39" i="39"/>
  <c r="Y35" i="5"/>
  <c r="Y47" i="5"/>
  <c r="E35" i="4" s="1"/>
  <c r="E38" i="4" s="1"/>
  <c r="E51" i="4" s="1"/>
  <c r="K41" i="39"/>
  <c r="K71" i="37"/>
  <c r="D67" i="4" s="1"/>
  <c r="K70" i="37"/>
  <c r="D44" i="4" s="1"/>
  <c r="M197" i="6"/>
  <c r="D65" i="4" s="1"/>
  <c r="P163" i="6"/>
  <c r="J49" i="39"/>
  <c r="K47" i="37"/>
  <c r="K68" i="37"/>
  <c r="D17" i="4" s="1"/>
  <c r="O172" i="6"/>
  <c r="L193" i="6" s="1"/>
  <c r="J67" i="19"/>
  <c r="K66" i="37"/>
  <c r="J46" i="19"/>
  <c r="K46" i="19" s="1"/>
  <c r="AK45" i="5"/>
  <c r="X45" i="5"/>
  <c r="J45" i="19"/>
  <c r="K45" i="19" s="1"/>
  <c r="J44" i="19"/>
  <c r="K44" i="19" s="1"/>
  <c r="K67" i="19"/>
  <c r="F11" i="4" l="1"/>
  <c r="AC3" i="4" s="1"/>
  <c r="AB9" i="4"/>
  <c r="AB7" i="4"/>
  <c r="D96" i="4"/>
  <c r="Y112" i="4" s="1"/>
  <c r="Y45" i="5"/>
  <c r="E8" i="4" s="1"/>
  <c r="K49" i="39"/>
  <c r="D13" i="4" s="1"/>
  <c r="K51" i="39"/>
  <c r="D40" i="4" s="1"/>
  <c r="K53" i="39"/>
  <c r="D86" i="4" s="1"/>
  <c r="J42" i="8"/>
  <c r="J43" i="8"/>
  <c r="H31" i="7"/>
  <c r="I32" i="7"/>
  <c r="H33" i="7"/>
  <c r="H34" i="7"/>
  <c r="I34" i="7" s="1"/>
  <c r="H35" i="7"/>
  <c r="I35" i="7" s="1"/>
  <c r="H36" i="7"/>
  <c r="I36" i="7" s="1"/>
  <c r="H37" i="7"/>
  <c r="I37" i="7" s="1"/>
  <c r="H38" i="7"/>
  <c r="I38" i="7" s="1"/>
  <c r="H39" i="7"/>
  <c r="I39" i="7" s="1"/>
  <c r="H30" i="7"/>
  <c r="K81" i="13"/>
  <c r="L81" i="13" s="1"/>
  <c r="K82" i="13"/>
  <c r="L82" i="13" s="1"/>
  <c r="K83" i="13"/>
  <c r="L83" i="13" s="1"/>
  <c r="K84" i="13"/>
  <c r="L84" i="13" s="1"/>
  <c r="K85" i="13"/>
  <c r="L85" i="13" s="1"/>
  <c r="K86" i="13"/>
  <c r="L86" i="13" s="1"/>
  <c r="K87" i="13"/>
  <c r="L87" i="13" s="1"/>
  <c r="K88" i="13"/>
  <c r="L88" i="13" s="1"/>
  <c r="K89" i="13"/>
  <c r="L89" i="13" s="1"/>
  <c r="K80" i="13"/>
  <c r="K66" i="13"/>
  <c r="L66" i="13" s="1"/>
  <c r="K63" i="13"/>
  <c r="L63" i="13" s="1"/>
  <c r="K64" i="13"/>
  <c r="L64" i="13" s="1"/>
  <c r="K65" i="13"/>
  <c r="L65" i="13" s="1"/>
  <c r="K67" i="13"/>
  <c r="L67" i="13" s="1"/>
  <c r="K68" i="13"/>
  <c r="L68" i="13" s="1"/>
  <c r="K69" i="13"/>
  <c r="L69" i="13" s="1"/>
  <c r="K70" i="13"/>
  <c r="L70" i="13" s="1"/>
  <c r="K71" i="13"/>
  <c r="L71" i="13" s="1"/>
  <c r="K62" i="13"/>
  <c r="K45" i="13"/>
  <c r="K46" i="13"/>
  <c r="L46" i="13" s="1"/>
  <c r="K48" i="13"/>
  <c r="L48" i="13" s="1"/>
  <c r="K50" i="13"/>
  <c r="L50" i="13" s="1"/>
  <c r="K51" i="13"/>
  <c r="L51" i="13" s="1"/>
  <c r="K52" i="13"/>
  <c r="L52" i="13" s="1"/>
  <c r="K53" i="13"/>
  <c r="L53" i="13" s="1"/>
  <c r="K36" i="5"/>
  <c r="K38" i="5"/>
  <c r="L38" i="5" s="1"/>
  <c r="K42" i="5"/>
  <c r="L42" i="5" s="1"/>
  <c r="K43" i="5"/>
  <c r="L43" i="5" s="1"/>
  <c r="K44" i="5"/>
  <c r="L44" i="5" s="1"/>
  <c r="E11" i="4" l="1"/>
  <c r="AB3" i="4" s="1"/>
  <c r="F24" i="4"/>
  <c r="AC5" i="4"/>
  <c r="AC6" i="4"/>
  <c r="AC4" i="4"/>
  <c r="J74" i="8"/>
  <c r="K74" i="8" s="1"/>
  <c r="D62" i="4" s="1"/>
  <c r="D64" i="4" s="1"/>
  <c r="Y91" i="4" s="1"/>
  <c r="J71" i="8"/>
  <c r="K94" i="13"/>
  <c r="J75" i="8"/>
  <c r="K75" i="8" s="1"/>
  <c r="D85" i="4" s="1"/>
  <c r="D87" i="4" s="1"/>
  <c r="Y111" i="4" s="1"/>
  <c r="K43" i="8"/>
  <c r="K95" i="13"/>
  <c r="L62" i="13"/>
  <c r="L72" i="13" s="1"/>
  <c r="K41" i="8"/>
  <c r="L45" i="13"/>
  <c r="I31" i="7"/>
  <c r="H43" i="7"/>
  <c r="I30" i="7"/>
  <c r="H42" i="7"/>
  <c r="I33" i="7"/>
  <c r="H44" i="7"/>
  <c r="K96" i="13"/>
  <c r="L80" i="13"/>
  <c r="K72" i="19"/>
  <c r="D66" i="4" s="1"/>
  <c r="K42" i="8"/>
  <c r="L47" i="5"/>
  <c r="D35" i="4" s="1"/>
  <c r="L36" i="5"/>
  <c r="H40" i="7"/>
  <c r="K72" i="13"/>
  <c r="K90" i="13"/>
  <c r="J51" i="8"/>
  <c r="I40" i="7"/>
  <c r="D10" i="4" s="1"/>
  <c r="F27" i="4" l="1"/>
  <c r="F26" i="4"/>
  <c r="E24" i="4"/>
  <c r="AB5" i="4"/>
  <c r="AB6" i="4"/>
  <c r="AB4" i="4"/>
  <c r="D73" i="4"/>
  <c r="Y92" i="4" s="1"/>
  <c r="K71" i="8"/>
  <c r="D12" i="4" s="1"/>
  <c r="L94" i="13"/>
  <c r="D36" i="4" s="1"/>
  <c r="L95" i="13"/>
  <c r="D59" i="4" s="1"/>
  <c r="L96" i="13"/>
  <c r="D82" i="4" s="1"/>
  <c r="I42" i="7"/>
  <c r="D37" i="4" s="1"/>
  <c r="I43" i="7"/>
  <c r="D60" i="4" s="1"/>
  <c r="I44" i="7"/>
  <c r="D83" i="4" s="1"/>
  <c r="D41" i="4"/>
  <c r="Y70" i="4" s="1"/>
  <c r="L48" i="5"/>
  <c r="D58" i="4" s="1"/>
  <c r="K51" i="8"/>
  <c r="L90" i="13"/>
  <c r="K45" i="5"/>
  <c r="E26" i="4" l="1"/>
  <c r="E27" i="4"/>
  <c r="D14" i="4"/>
  <c r="D84" i="4"/>
  <c r="D38" i="4"/>
  <c r="D61" i="4"/>
  <c r="L45" i="5"/>
  <c r="D8" i="4" s="1"/>
  <c r="C24" i="21"/>
  <c r="C17" i="20"/>
  <c r="C29" i="37"/>
  <c r="C30" i="19"/>
  <c r="C41" i="6"/>
  <c r="C23" i="7"/>
  <c r="C37" i="13"/>
  <c r="AA9" i="4" l="1"/>
  <c r="AF9" i="4" s="1"/>
  <c r="AA8" i="4"/>
  <c r="AF8" i="4" s="1"/>
  <c r="AA7" i="4"/>
  <c r="AF7" i="4" s="1"/>
  <c r="Y37" i="4"/>
  <c r="Y69" i="4"/>
  <c r="D97" i="4"/>
  <c r="Y110" i="4"/>
  <c r="D74" i="4"/>
  <c r="Y90" i="4"/>
  <c r="AC28" i="5"/>
  <c r="P28" i="5"/>
  <c r="C28" i="5"/>
  <c r="K49" i="13" l="1"/>
  <c r="L49" i="13" s="1"/>
  <c r="K47" i="13"/>
  <c r="K92" i="13" s="1"/>
  <c r="E11" i="30"/>
  <c r="L47" i="13" l="1"/>
  <c r="L92" i="13" s="1"/>
  <c r="K54" i="13"/>
  <c r="E152" i="2"/>
  <c r="D9" i="4" l="1"/>
  <c r="L54" i="13"/>
  <c r="G5" i="2"/>
  <c r="G4" i="2"/>
  <c r="G6" i="2"/>
  <c r="G3" i="2"/>
  <c r="D11" i="4" l="1"/>
  <c r="AA4" i="4" s="1"/>
  <c r="AF4" i="4" s="1"/>
  <c r="K27" i="3"/>
  <c r="K73" i="3"/>
  <c r="AA5" i="4" l="1"/>
  <c r="AF5" i="4" s="1"/>
  <c r="AA6" i="4"/>
  <c r="AF6" i="4" s="1"/>
  <c r="AA3" i="4"/>
  <c r="AF3" i="4" s="1"/>
  <c r="Y36" i="4"/>
  <c r="K24" i="3"/>
  <c r="K25" i="3"/>
  <c r="K26" i="3"/>
  <c r="K23" i="3"/>
  <c r="AM45" i="2" l="1"/>
  <c r="AL45" i="2"/>
  <c r="AA37" i="2"/>
  <c r="AA36" i="2"/>
  <c r="AC35" i="2"/>
  <c r="AB35" i="2"/>
  <c r="AA35" i="2"/>
  <c r="Z35" i="2"/>
  <c r="Y35" i="2"/>
  <c r="X35" i="2"/>
  <c r="W35" i="2"/>
  <c r="V35" i="2"/>
  <c r="AA34" i="2"/>
  <c r="AA33" i="2"/>
  <c r="AC31" i="2"/>
  <c r="AC32" i="2" s="1"/>
  <c r="AB31" i="2"/>
  <c r="AB32" i="2" s="1"/>
  <c r="AA31" i="2"/>
  <c r="AA32" i="2" s="1"/>
  <c r="Z31" i="2"/>
  <c r="Z32" i="2" s="1"/>
  <c r="Y31" i="2"/>
  <c r="Y32" i="2" s="1"/>
  <c r="N25" i="2"/>
  <c r="J16" i="2"/>
  <c r="I16" i="2"/>
  <c r="G16" i="2"/>
  <c r="F16" i="2"/>
  <c r="E16" i="2"/>
  <c r="D16" i="2"/>
  <c r="C16" i="2"/>
  <c r="J38" i="19"/>
  <c r="K38" i="19" l="1"/>
  <c r="J71" i="19"/>
  <c r="J48" i="19"/>
  <c r="J69" i="19" s="1"/>
  <c r="K71" i="19" l="1"/>
  <c r="D43" i="4" s="1"/>
  <c r="K48" i="19"/>
  <c r="K69" i="19" s="1"/>
  <c r="D16" i="4" s="1"/>
  <c r="D50" i="4" l="1"/>
  <c r="D51" i="4" s="1"/>
  <c r="P172" i="6"/>
  <c r="M193" i="6" s="1"/>
  <c r="Y71" i="4" l="1"/>
  <c r="D15" i="4"/>
  <c r="D23" i="4" l="1"/>
  <c r="Y38" i="4" s="1"/>
  <c r="AA14" i="4" l="1"/>
  <c r="AF14" i="4" s="1"/>
  <c r="AA15" i="4"/>
  <c r="AF15" i="4" s="1"/>
  <c r="AA16" i="4"/>
  <c r="AF16" i="4" s="1"/>
  <c r="AA17" i="4"/>
  <c r="AF17" i="4" s="1"/>
  <c r="AA18" i="4"/>
  <c r="AF18" i="4" s="1"/>
  <c r="AA13" i="4"/>
  <c r="AF13" i="4" s="1"/>
  <c r="AA12" i="4"/>
  <c r="AF12" i="4" s="1"/>
  <c r="AA11" i="4"/>
  <c r="AF11" i="4" s="1"/>
  <c r="AA10" i="4"/>
  <c r="AF10" i="4" s="1"/>
  <c r="D24" i="4"/>
  <c r="D26" i="4" s="1"/>
  <c r="D27" i="4" l="1"/>
</calcChain>
</file>

<file path=xl/comments1.xml><?xml version="1.0" encoding="utf-8"?>
<comments xmlns="http://schemas.openxmlformats.org/spreadsheetml/2006/main">
  <authors>
    <author/>
  </authors>
  <commentList>
    <comment ref="E31" authorId="0" shapeId="0">
      <text>
        <r>
          <rPr>
            <b/>
            <sz val="8"/>
            <rFont val="Tahoma"/>
            <family val="2"/>
          </rPr>
          <t xml:space="preserve">Nt toote kogus või käive, mille suhtes soovitakse KHG jalajälge väljendada
</t>
        </r>
      </text>
    </comment>
  </commentList>
</comments>
</file>

<file path=xl/comments2.xml><?xml version="1.0" encoding="utf-8"?>
<comments xmlns="http://schemas.openxmlformats.org/spreadsheetml/2006/main">
  <authors>
    <author/>
  </authors>
  <commentList>
    <comment ref="E8" authorId="0" shapeId="0">
      <text>
        <r>
          <rPr>
            <b/>
            <sz val="8"/>
            <rFont val="Tahoma"/>
            <family val="2"/>
          </rPr>
          <t xml:space="preserve">m3 põhisel arvutusel tuleks lähtuda normaalrõhust
</t>
        </r>
      </text>
    </comment>
    <comment ref="E19" authorId="0" shapeId="0">
      <text>
        <r>
          <rPr>
            <b/>
            <sz val="8"/>
            <rFont val="Tahoma"/>
            <family val="2"/>
          </rPr>
          <t xml:space="preserve">m3 põhisel arvutusel tuleks lähtuda normaalrõhust
</t>
        </r>
      </text>
    </comment>
    <comment ref="B57" authorId="0" shapeId="0">
      <text>
        <r>
          <rPr>
            <b/>
            <sz val="8"/>
            <rFont val="Tahoma"/>
            <family val="2"/>
          </rPr>
          <t xml:space="preserve">Elektrienergia päritolutunnistusega tõendatud taastuvenergia, sh roheelektri lepinguga ostetud elektrienergia
</t>
        </r>
      </text>
    </comment>
    <comment ref="B58" authorId="0" shapeId="0">
      <text>
        <r>
          <rPr>
            <b/>
            <sz val="8"/>
            <rFont val="Tahoma"/>
            <family val="2"/>
          </rPr>
          <t xml:space="preserve">Tõendamata päritoluga elektrienergia
</t>
        </r>
      </text>
    </comment>
    <comment ref="D58" authorId="0" shapeId="0">
      <text>
        <r>
          <rPr>
            <b/>
            <sz val="8"/>
            <rFont val="Tahoma"/>
            <family val="2"/>
          </rPr>
          <t xml:space="preserve">Tegu on praegu CO2 heiteteguriga, edaspidi annab Elering segajäägi heiteteguri CO2 ekvivalentides
</t>
        </r>
      </text>
    </comment>
    <comment ref="D61" authorId="0" shapeId="0">
      <text>
        <r>
          <rPr>
            <b/>
            <sz val="8"/>
            <rFont val="Tahoma"/>
            <family val="2"/>
          </rPr>
          <t xml:space="preserve">Tegu on praegu CO2 heiteteguriga, edaspidi annab Elering segajäägi heiteteguri CO2 ekvivalentides
</t>
        </r>
      </text>
    </comment>
    <comment ref="B67" authorId="0" shapeId="0">
      <text>
        <r>
          <rPr>
            <b/>
            <sz val="8"/>
            <rFont val="Tahoma"/>
            <family val="2"/>
          </rPr>
          <t xml:space="preserve">Kasutada ainult juhul, kui puudub igasugune teave piirkonna kaugkütte soojusenergia tootmise kütus(t)est.
</t>
        </r>
      </text>
    </comment>
  </commentList>
</comments>
</file>

<file path=xl/comments3.xml><?xml version="1.0" encoding="utf-8"?>
<comments xmlns="http://schemas.openxmlformats.org/spreadsheetml/2006/main">
  <authors>
    <author/>
  </authors>
  <commentList>
    <comment ref="B42" authorId="0" shapeId="0">
      <text>
        <r>
          <rPr>
            <b/>
            <sz val="8"/>
            <rFont val="Tahoma"/>
            <family val="2"/>
          </rPr>
          <t>Kasutada siis, kui pole teada, kas sõiduauto on bensiini- või diiselmootoriga</t>
        </r>
      </text>
    </comment>
    <comment ref="B43" authorId="0" shapeId="0">
      <text>
        <r>
          <rPr>
            <b/>
            <sz val="8"/>
            <rFont val="Tahoma"/>
            <family val="2"/>
          </rPr>
          <t xml:space="preserve">1,4–2,0-liitrine bensiinimootor
</t>
        </r>
      </text>
    </comment>
    <comment ref="B44" authorId="0" shapeId="0">
      <text>
        <r>
          <rPr>
            <b/>
            <sz val="8"/>
            <rFont val="Tahoma"/>
            <family val="2"/>
          </rPr>
          <t>Üle 2,0-liitrine bensiinimootor</t>
        </r>
      </text>
    </comment>
    <comment ref="B45" authorId="0" shapeId="0">
      <text>
        <r>
          <rPr>
            <b/>
            <sz val="8"/>
            <rFont val="Tahoma"/>
            <family val="2"/>
          </rPr>
          <t>Kasutada siis, kui bensiinimootori suurus pole teada</t>
        </r>
      </text>
    </comment>
    <comment ref="B46" authorId="0" shapeId="0">
      <text>
        <r>
          <rPr>
            <b/>
            <sz val="8"/>
            <rFont val="Tahoma"/>
            <family val="2"/>
          </rPr>
          <t>Kuni 1,4 liitrine bensiinimootor</t>
        </r>
      </text>
    </comment>
    <comment ref="B47" authorId="0" shapeId="0">
      <text>
        <r>
          <rPr>
            <b/>
            <sz val="8"/>
            <rFont val="Tahoma"/>
            <family val="2"/>
          </rPr>
          <t>1,7–2,0-liitrine diiselmootor</t>
        </r>
      </text>
    </comment>
    <comment ref="B48" authorId="0" shapeId="0">
      <text>
        <r>
          <rPr>
            <b/>
            <sz val="8"/>
            <rFont val="Tahoma"/>
            <family val="2"/>
          </rPr>
          <t>Üle 2,0-liitrine diiselmootor</t>
        </r>
      </text>
    </comment>
    <comment ref="B49" authorId="0" shapeId="0">
      <text>
        <r>
          <rPr>
            <b/>
            <sz val="8"/>
            <rFont val="Tahoma"/>
            <family val="2"/>
          </rPr>
          <t>Kasutada siis, kui diiselmootori suurus pole teada</t>
        </r>
      </text>
    </comment>
    <comment ref="B50" authorId="0" shapeId="0">
      <text>
        <r>
          <rPr>
            <b/>
            <sz val="8"/>
            <rFont val="Tahoma"/>
            <family val="2"/>
          </rPr>
          <t xml:space="preserve">Kuni 1,7-liitrine diiselmootor
</t>
        </r>
      </text>
    </comment>
    <comment ref="B51" authorId="0" shapeId="0">
      <text>
        <r>
          <rPr>
            <b/>
            <sz val="8"/>
            <rFont val="Tahoma"/>
            <family val="2"/>
          </rPr>
          <t xml:space="preserve">Keskmise suurusega hübriidauto 1,4–2,0-liitrise bensiinimootoriga </t>
        </r>
      </text>
    </comment>
    <comment ref="B52" authorId="0" shapeId="0">
      <text>
        <r>
          <rPr>
            <b/>
            <sz val="8"/>
            <rFont val="Tahoma"/>
            <family val="2"/>
          </rPr>
          <t xml:space="preserve">Väike hübriidauto kuni 1,4-liitrise bensiinimootoriga 
</t>
        </r>
      </text>
    </comment>
    <comment ref="B53" authorId="0" shapeId="0">
      <text>
        <r>
          <rPr>
            <b/>
            <sz val="8"/>
            <rFont val="Tahoma"/>
            <family val="2"/>
          </rPr>
          <t xml:space="preserve">Kasutada siis, kui hübriidauto suurus pole teada
</t>
        </r>
      </text>
    </comment>
    <comment ref="B54" authorId="0" shapeId="0">
      <text>
        <r>
          <rPr>
            <b/>
            <sz val="8"/>
            <rFont val="Tahoma"/>
            <family val="2"/>
          </rPr>
          <t>Suur hübriidauto üle 2,0-liitrise bensiinimootoriga</t>
        </r>
      </text>
    </comment>
    <comment ref="B55" authorId="0" shapeId="0">
      <text>
        <r>
          <rPr>
            <b/>
            <sz val="8"/>
            <rFont val="Tahoma"/>
            <family val="2"/>
          </rPr>
          <t>Kasutada siis, kui kütus ja sõiduauto tüüp pole teada</t>
        </r>
      </text>
    </comment>
    <comment ref="B56" authorId="0" shapeId="0">
      <text>
        <r>
          <rPr>
            <b/>
            <sz val="8"/>
            <rFont val="Tahoma"/>
            <family val="2"/>
          </rPr>
          <t>Pistikhübriid sõiduautode keskmine, bensiini tarbimisest tulenev KHG heide</t>
        </r>
      </text>
    </comment>
    <comment ref="B57" authorId="0" shapeId="0">
      <text>
        <r>
          <rPr>
            <b/>
            <sz val="8"/>
            <rFont val="Tahoma"/>
            <family val="2"/>
          </rPr>
          <t>Pistikhübriid sõiduautode keskmine, diisli tarbimisest tulenev KHG heide</t>
        </r>
      </text>
    </comment>
    <comment ref="B58" authorId="0" shapeId="0">
      <text>
        <r>
          <rPr>
            <b/>
            <sz val="8"/>
            <rFont val="Tahoma"/>
            <family val="2"/>
          </rPr>
          <t>Erineva suurusega surubiometaani kasutavate sõiduautode keskmine</t>
        </r>
      </text>
    </comment>
    <comment ref="B59" authorId="0" shapeId="0">
      <text>
        <r>
          <rPr>
            <b/>
            <sz val="8"/>
            <rFont val="Tahoma"/>
            <family val="2"/>
          </rPr>
          <t>Erineva suurusega surumaagaasi kasutavate sõiduautode keskmine</t>
        </r>
      </text>
    </comment>
    <comment ref="B60" authorId="0" shapeId="0">
      <text>
        <r>
          <rPr>
            <b/>
            <sz val="8"/>
            <rFont val="Tahoma"/>
            <family val="2"/>
          </rPr>
          <t>Erineva suurusega veeldatud naftagaasi kasutavate sõiduautode keskmine</t>
        </r>
      </text>
    </comment>
  </commentList>
</comments>
</file>

<file path=xl/comments4.xml><?xml version="1.0" encoding="utf-8"?>
<comments xmlns="http://schemas.openxmlformats.org/spreadsheetml/2006/main">
  <authors>
    <author>Piret Kuldna</author>
  </authors>
  <commentList>
    <comment ref="B114" authorId="0" shapeId="0">
      <text>
        <r>
          <rPr>
            <sz val="9"/>
            <color indexed="81"/>
            <rFont val="Segoe UI"/>
            <family val="2"/>
          </rPr>
          <t xml:space="preserve">Eeldus: 
65% HCFC-123 + 12% HFC-134a + 23% HCFC-22
</t>
        </r>
      </text>
    </comment>
  </commentList>
</comments>
</file>

<file path=xl/comments5.xml><?xml version="1.0" encoding="utf-8"?>
<comments xmlns="http://schemas.openxmlformats.org/spreadsheetml/2006/main">
  <authors>
    <author/>
  </authors>
  <commentList>
    <comment ref="C92" authorId="0" shapeId="0">
      <text>
        <r>
          <rPr>
            <b/>
            <sz val="8"/>
            <rFont val="Tahoma"/>
            <family val="2"/>
          </rPr>
          <t>Koos kondensjälje ehk veeauru efektiga</t>
        </r>
      </text>
    </comment>
    <comment ref="D92" authorId="0" shapeId="0">
      <text>
        <r>
          <rPr>
            <b/>
            <sz val="8"/>
            <rFont val="Tahoma"/>
            <family val="2"/>
          </rPr>
          <t>Ainult kütuse põlemisel tekkivad otsesed KHG-d (CO2, CH4, N2O)</t>
        </r>
      </text>
    </comment>
  </commentList>
</comments>
</file>

<file path=xl/comments6.xml><?xml version="1.0" encoding="utf-8"?>
<comments xmlns="http://schemas.openxmlformats.org/spreadsheetml/2006/main">
  <authors>
    <author/>
  </authors>
  <commentList>
    <comment ref="B9" authorId="0" shapeId="0">
      <text>
        <r>
          <rPr>
            <b/>
            <sz val="8"/>
            <rFont val="Tahoma"/>
            <family val="2"/>
          </rPr>
          <t xml:space="preserve">Erineva suurusega bio-CNG kütust kasutavate sõiduautode keskmine
</t>
        </r>
      </text>
    </comment>
    <comment ref="B10" authorId="0" shapeId="0">
      <text>
        <r>
          <rPr>
            <b/>
            <sz val="8"/>
            <rFont val="Tahoma"/>
            <family val="2"/>
          </rPr>
          <t xml:space="preserve">Erineva suurusega CNG kütust kasutavate sõiduautode keskmine
</t>
        </r>
      </text>
    </comment>
    <comment ref="B11" authorId="0" shapeId="0">
      <text>
        <r>
          <rPr>
            <b/>
            <sz val="8"/>
            <rFont val="Tahoma"/>
            <family val="2"/>
          </rPr>
          <t>Erineva suurusega pistikhübriid (bensiin/taastuvelekter) sõiduautode keskmine</t>
        </r>
      </text>
    </comment>
    <comment ref="B12" authorId="0" shapeId="0">
      <text>
        <r>
          <rPr>
            <b/>
            <sz val="8"/>
            <rFont val="Tahoma"/>
            <family val="2"/>
          </rPr>
          <t>Erineva suurusega pistikhübriid (bensiin/tavaelekter) sõiduautode keskmine</t>
        </r>
      </text>
    </comment>
    <comment ref="B13" authorId="0" shapeId="0">
      <text>
        <r>
          <rPr>
            <b/>
            <sz val="8"/>
            <rFont val="Tahoma"/>
            <family val="2"/>
          </rPr>
          <t>Erineva suurusega pistikhübriid (diisel/taastuvelekter) sõiduautode keskmine</t>
        </r>
      </text>
    </comment>
    <comment ref="B14" authorId="0" shapeId="0">
      <text>
        <r>
          <rPr>
            <b/>
            <sz val="8"/>
            <rFont val="Tahoma"/>
            <family val="2"/>
          </rPr>
          <t>Erineva suurusega pistikhübriid (diisel/tavaelekter) sõiduautode keskmine</t>
        </r>
      </text>
    </comment>
    <comment ref="B15" authorId="0" shapeId="0">
      <text>
        <r>
          <rPr>
            <b/>
            <sz val="8"/>
            <rFont val="Tahoma"/>
            <family val="2"/>
          </rPr>
          <t>Taastuvelektrit kasutavate sõiduautode KHG heide</t>
        </r>
      </text>
    </comment>
    <comment ref="B16" authorId="0" shapeId="0">
      <text>
        <r>
          <rPr>
            <b/>
            <sz val="8"/>
            <rFont val="Tahoma"/>
            <family val="2"/>
          </rPr>
          <t xml:space="preserve">Tavaelektrit kasutavate sõiduautode keskmine KHG heide
</t>
        </r>
      </text>
    </comment>
    <comment ref="B17" authorId="0" shapeId="0">
      <text>
        <r>
          <rPr>
            <b/>
            <sz val="8"/>
            <rFont val="Tahoma"/>
            <family val="2"/>
          </rPr>
          <t xml:space="preserve">Erineva suurusega LPG kütust kasutavate sõiduautode keskmine
</t>
        </r>
      </text>
    </comment>
    <comment ref="B18" authorId="0" shapeId="0">
      <text>
        <r>
          <rPr>
            <b/>
            <sz val="8"/>
            <rFont val="Tahoma"/>
            <family val="2"/>
          </rPr>
          <t xml:space="preserve">1,4–2,0-liitrine bensiinimootor
</t>
        </r>
      </text>
    </comment>
    <comment ref="B21" authorId="0" shapeId="0">
      <text>
        <r>
          <rPr>
            <b/>
            <sz val="8"/>
            <rFont val="Tahoma"/>
            <family val="2"/>
          </rPr>
          <t>1,7–2,0-liitrine diiselmootor</t>
        </r>
      </text>
    </comment>
    <comment ref="B22" authorId="0" shapeId="0">
      <text>
        <r>
          <rPr>
            <b/>
            <sz val="8"/>
            <rFont val="Tahoma"/>
            <family val="2"/>
          </rPr>
          <t xml:space="preserve">Keskmise suurusega hübriidauto 1,4–2,0-liitrise bensiinimootoriga </t>
        </r>
      </text>
    </comment>
    <comment ref="B23" authorId="0" shapeId="0">
      <text>
        <r>
          <rPr>
            <b/>
            <sz val="8"/>
            <rFont val="Tahoma"/>
            <family val="2"/>
          </rPr>
          <t>Üle 2,0-liitrine bensiinimootor</t>
        </r>
      </text>
    </comment>
    <comment ref="B26" authorId="0" shapeId="0">
      <text>
        <r>
          <rPr>
            <b/>
            <sz val="8"/>
            <rFont val="Tahoma"/>
            <family val="2"/>
          </rPr>
          <t>Üle 2,0-liitrine diiselmootor</t>
        </r>
      </text>
    </comment>
    <comment ref="B27" authorId="0" shapeId="0">
      <text>
        <r>
          <rPr>
            <b/>
            <sz val="8"/>
            <rFont val="Tahoma"/>
            <family val="2"/>
          </rPr>
          <t>Suur hübriidauto üle 2,0-liitrise bensiinimootoriga</t>
        </r>
      </text>
    </comment>
    <comment ref="B28" authorId="0" shapeId="0">
      <text>
        <r>
          <rPr>
            <b/>
            <sz val="8"/>
            <rFont val="Tahoma"/>
            <family val="2"/>
          </rPr>
          <t>Kasutada siis, kui sõiduauto tüüp ja kasutatav kütus on teadmata</t>
        </r>
      </text>
    </comment>
    <comment ref="B30" authorId="0" shapeId="0">
      <text>
        <r>
          <rPr>
            <b/>
            <sz val="8"/>
            <rFont val="Tahoma"/>
            <family val="2"/>
          </rPr>
          <t>Kasutada siis, kui bensiinimootori suurus pole teada</t>
        </r>
      </text>
    </comment>
    <comment ref="B34" authorId="0" shapeId="0">
      <text>
        <r>
          <rPr>
            <b/>
            <sz val="8"/>
            <rFont val="Tahoma"/>
            <family val="2"/>
          </rPr>
          <t>Kasutada siis, kui hübriidauto suurus pole teada</t>
        </r>
      </text>
    </comment>
    <comment ref="B35" authorId="0" shapeId="0">
      <text>
        <r>
          <rPr>
            <b/>
            <sz val="8"/>
            <rFont val="Tahoma"/>
            <family val="2"/>
          </rPr>
          <t>Kuni 1,4-liitrine bensiinimootor</t>
        </r>
      </text>
    </comment>
    <comment ref="B38" authorId="0" shapeId="0">
      <text>
        <r>
          <rPr>
            <b/>
            <sz val="8"/>
            <rFont val="Tahoma"/>
            <family val="2"/>
          </rPr>
          <t xml:space="preserve">Kuni 1,7-liitrine diiselmootor
</t>
        </r>
      </text>
    </comment>
    <comment ref="B39" authorId="0" shapeId="0">
      <text>
        <r>
          <rPr>
            <b/>
            <sz val="8"/>
            <rFont val="Tahoma"/>
            <family val="2"/>
          </rPr>
          <t xml:space="preserve">Väike hübriidauto kuni 1,4-liitrise bensiinimootoriga 
</t>
        </r>
      </text>
    </comment>
    <comment ref="B59" authorId="0" shapeId="0">
      <text>
        <r>
          <rPr>
            <b/>
            <sz val="8"/>
            <rFont val="Tahoma"/>
            <family val="2"/>
          </rPr>
          <t xml:space="preserve">Taastuvelekter
</t>
        </r>
      </text>
    </comment>
    <comment ref="B64" authorId="0" shapeId="0">
      <text>
        <r>
          <rPr>
            <b/>
            <sz val="8"/>
            <rFont val="Tahoma"/>
            <family val="2"/>
          </rPr>
          <t xml:space="preserve">Taastuvelekter
</t>
        </r>
      </text>
    </comment>
  </commentList>
</comments>
</file>

<file path=xl/comments7.xml><?xml version="1.0" encoding="utf-8"?>
<comments xmlns="http://schemas.openxmlformats.org/spreadsheetml/2006/main">
  <authors>
    <author>Piret Kuldna</author>
    <author/>
  </authors>
  <commentList>
    <comment ref="E5" authorId="0" shapeId="0">
      <text>
        <r>
          <rPr>
            <sz val="9"/>
            <color indexed="81"/>
            <rFont val="Segoe UI"/>
            <family val="2"/>
          </rPr>
          <t xml:space="preserve">Ampler Bikes: 0,0048
Comodule: 0,02
Keskmine: 0,0124
</t>
        </r>
      </text>
    </comment>
    <comment ref="B13" authorId="1" shapeId="0">
      <text>
        <r>
          <rPr>
            <b/>
            <sz val="8"/>
            <rFont val="Tahoma"/>
            <family val="2"/>
          </rPr>
          <t xml:space="preserve">Erineva suurusega bio-CNG kütust kasutavate sõiduautode keskmine
</t>
        </r>
      </text>
    </comment>
    <comment ref="B14" authorId="1" shapeId="0">
      <text>
        <r>
          <rPr>
            <b/>
            <sz val="8"/>
            <rFont val="Tahoma"/>
            <family val="2"/>
          </rPr>
          <t xml:space="preserve">Erineva suurusega CNG kütust kasutavate sõiduautode keskmine
</t>
        </r>
      </text>
    </comment>
    <comment ref="B15" authorId="1" shapeId="0">
      <text>
        <r>
          <rPr>
            <b/>
            <sz val="8"/>
            <rFont val="Tahoma"/>
            <family val="2"/>
          </rPr>
          <t>Erineva suurusega pistikhübriid (bensiin/taastuvelekter) sõiduautode keskmine</t>
        </r>
      </text>
    </comment>
    <comment ref="B16" authorId="1" shapeId="0">
      <text>
        <r>
          <rPr>
            <b/>
            <sz val="8"/>
            <rFont val="Tahoma"/>
            <family val="2"/>
          </rPr>
          <t>Erineva suurusega pistikhübriid (bensiin/tavaelekter) sõiduautode keskmine</t>
        </r>
      </text>
    </comment>
    <comment ref="B17" authorId="1" shapeId="0">
      <text>
        <r>
          <rPr>
            <b/>
            <sz val="8"/>
            <rFont val="Tahoma"/>
            <family val="2"/>
          </rPr>
          <t>Erineva suurusega pistikhübriid (diisel/taastuvelekter) sõiduautode keskmine</t>
        </r>
      </text>
    </comment>
    <comment ref="B18" authorId="1" shapeId="0">
      <text>
        <r>
          <rPr>
            <b/>
            <sz val="8"/>
            <rFont val="Tahoma"/>
            <family val="2"/>
          </rPr>
          <t>Erineva suurusega pistikhübriid (diisel/tavaelekter) sõiduautode keskmine</t>
        </r>
      </text>
    </comment>
    <comment ref="B19" authorId="1" shapeId="0">
      <text>
        <r>
          <rPr>
            <b/>
            <sz val="8"/>
            <rFont val="Tahoma"/>
            <family val="2"/>
          </rPr>
          <t>Taastuvelektrit kasutavate sõiduautode KHG heide</t>
        </r>
      </text>
    </comment>
    <comment ref="B20" authorId="1" shapeId="0">
      <text>
        <r>
          <rPr>
            <b/>
            <sz val="8"/>
            <rFont val="Tahoma"/>
            <family val="2"/>
          </rPr>
          <t xml:space="preserve">Tavaelektrit kasutavate sõiduautode keskmine KHG heide
</t>
        </r>
      </text>
    </comment>
    <comment ref="B21" authorId="1" shapeId="0">
      <text>
        <r>
          <rPr>
            <b/>
            <sz val="8"/>
            <rFont val="Tahoma"/>
            <family val="2"/>
          </rPr>
          <t xml:space="preserve">Erineva suurusega LPG kütust kasutavate sõiduautode keskmine
</t>
        </r>
      </text>
    </comment>
    <comment ref="B22" authorId="1" shapeId="0">
      <text>
        <r>
          <rPr>
            <b/>
            <sz val="8"/>
            <rFont val="Tahoma"/>
            <family val="2"/>
          </rPr>
          <t xml:space="preserve">1,4–2,0-liitrine bensiinimootor
</t>
        </r>
      </text>
    </comment>
    <comment ref="B25" authorId="1" shapeId="0">
      <text>
        <r>
          <rPr>
            <b/>
            <sz val="8"/>
            <rFont val="Tahoma"/>
            <family val="2"/>
          </rPr>
          <t>1,7–2,0-liitrine diiselmootor</t>
        </r>
      </text>
    </comment>
    <comment ref="B26" authorId="1" shapeId="0">
      <text>
        <r>
          <rPr>
            <b/>
            <sz val="8"/>
            <rFont val="Tahoma"/>
            <family val="2"/>
          </rPr>
          <t xml:space="preserve">Keskmise suurusega hübriidauto 1,4–2,0-liitrise bensiinimootoriga </t>
        </r>
      </text>
    </comment>
    <comment ref="B27" authorId="1" shapeId="0">
      <text>
        <r>
          <rPr>
            <b/>
            <sz val="8"/>
            <rFont val="Tahoma"/>
            <family val="2"/>
          </rPr>
          <t>Üle 2,0-liitrine bensiinimootor</t>
        </r>
      </text>
    </comment>
    <comment ref="B30" authorId="1" shapeId="0">
      <text>
        <r>
          <rPr>
            <b/>
            <sz val="8"/>
            <rFont val="Tahoma"/>
            <family val="2"/>
          </rPr>
          <t>Üle 2,0-liitrine diiselmootor</t>
        </r>
      </text>
    </comment>
    <comment ref="B31" authorId="1" shapeId="0">
      <text>
        <r>
          <rPr>
            <b/>
            <sz val="8"/>
            <rFont val="Tahoma"/>
            <family val="2"/>
          </rPr>
          <t>Suur hübriidauto üle 2,0-liitrise bensiinimootoriga</t>
        </r>
      </text>
    </comment>
    <comment ref="B32" authorId="1" shapeId="0">
      <text>
        <r>
          <rPr>
            <b/>
            <sz val="8"/>
            <rFont val="Tahoma"/>
            <family val="2"/>
          </rPr>
          <t>Kasutada siis, kui sõiduauto tüüp ja kasutatav kütus on teadmata</t>
        </r>
      </text>
    </comment>
    <comment ref="B34" authorId="1" shapeId="0">
      <text>
        <r>
          <rPr>
            <b/>
            <sz val="8"/>
            <rFont val="Tahoma"/>
            <family val="2"/>
          </rPr>
          <t>Kasutada siis, kui bensiinimootori suurus pole teada</t>
        </r>
      </text>
    </comment>
    <comment ref="B38" authorId="1" shapeId="0">
      <text>
        <r>
          <rPr>
            <b/>
            <sz val="8"/>
            <rFont val="Tahoma"/>
            <family val="2"/>
          </rPr>
          <t>Kasutada siis, kui hübriidauto suurus pole teada</t>
        </r>
      </text>
    </comment>
    <comment ref="B39" authorId="1" shapeId="0">
      <text>
        <r>
          <rPr>
            <b/>
            <sz val="8"/>
            <rFont val="Tahoma"/>
            <family val="2"/>
          </rPr>
          <t>Kuni 1,4-liitrine bensiinimootor</t>
        </r>
      </text>
    </comment>
    <comment ref="B42" authorId="1" shapeId="0">
      <text>
        <r>
          <rPr>
            <b/>
            <sz val="8"/>
            <rFont val="Tahoma"/>
            <family val="2"/>
          </rPr>
          <t xml:space="preserve">Kuni 1,7-liitrine diiselmootor
</t>
        </r>
      </text>
    </comment>
    <comment ref="B43" authorId="1" shapeId="0">
      <text>
        <r>
          <rPr>
            <b/>
            <sz val="8"/>
            <rFont val="Tahoma"/>
            <family val="2"/>
          </rPr>
          <t xml:space="preserve">Väike hübriidauto kuni 1,4-liitrise bensiinimootoriga 
</t>
        </r>
      </text>
    </comment>
    <comment ref="B52" authorId="1" shapeId="0">
      <text>
        <r>
          <rPr>
            <b/>
            <sz val="8"/>
            <rFont val="Tahoma"/>
            <family val="2"/>
          </rPr>
          <t xml:space="preserve">Taastuvelekter
</t>
        </r>
      </text>
    </comment>
    <comment ref="B54" authorId="1" shapeId="0">
      <text>
        <r>
          <rPr>
            <b/>
            <sz val="8"/>
            <rFont val="Tahoma"/>
            <family val="2"/>
          </rPr>
          <t xml:space="preserve">Taastuvelekter
</t>
        </r>
      </text>
    </comment>
    <comment ref="B55" authorId="1" shapeId="0">
      <text>
        <r>
          <rPr>
            <b/>
            <sz val="8"/>
            <rFont val="Tahoma"/>
            <family val="2"/>
          </rPr>
          <t xml:space="preserve">Taastuvelekter
</t>
        </r>
      </text>
    </comment>
  </commentList>
</comments>
</file>

<file path=xl/comments8.xml><?xml version="1.0" encoding="utf-8"?>
<comments xmlns="http://schemas.openxmlformats.org/spreadsheetml/2006/main">
  <authors>
    <author/>
    <author>Piret Kuldna</author>
  </authors>
  <commentList>
    <comment ref="I9" authorId="0" shapeId="0">
      <text>
        <r>
          <rPr>
            <b/>
            <sz val="8"/>
            <rFont val="Tahoma"/>
            <family val="2"/>
          </rPr>
          <t xml:space="preserve">m3 põhisel arvutusel tuleks lähtuda normaalrõhust
</t>
        </r>
      </text>
    </comment>
    <comment ref="I20" authorId="0" shapeId="0">
      <text>
        <r>
          <rPr>
            <b/>
            <sz val="8"/>
            <rFont val="Tahoma"/>
            <family val="2"/>
          </rPr>
          <t xml:space="preserve">m3 põhisel arvutusel tuleks lähtuda normaalrõhust
</t>
        </r>
      </text>
    </comment>
    <comment ref="B123" authorId="0" shapeId="0">
      <text>
        <r>
          <rPr>
            <b/>
            <sz val="8"/>
            <rFont val="Tahoma"/>
            <family val="2"/>
          </rPr>
          <t>Kasutada siis, kui pole teada, kas sõiduauto on bensiini- või diiselmootoriga</t>
        </r>
      </text>
    </comment>
    <comment ref="B124" authorId="0" shapeId="0">
      <text>
        <r>
          <rPr>
            <b/>
            <sz val="8"/>
            <rFont val="Tahoma"/>
            <family val="2"/>
          </rPr>
          <t xml:space="preserve">1,4–2,0-liitrine bensiinimootor
</t>
        </r>
      </text>
    </comment>
    <comment ref="B125" authorId="0" shapeId="0">
      <text>
        <r>
          <rPr>
            <b/>
            <sz val="8"/>
            <rFont val="Tahoma"/>
            <family val="2"/>
          </rPr>
          <t>Üle 2,0-liitrine bensiinimootor</t>
        </r>
      </text>
    </comment>
    <comment ref="B126" authorId="0" shapeId="0">
      <text>
        <r>
          <rPr>
            <b/>
            <sz val="8"/>
            <rFont val="Tahoma"/>
            <family val="2"/>
          </rPr>
          <t>Kasutada siis, kui bensiinimootori suurus pole teada</t>
        </r>
      </text>
    </comment>
    <comment ref="B127" authorId="0" shapeId="0">
      <text>
        <r>
          <rPr>
            <b/>
            <sz val="8"/>
            <rFont val="Tahoma"/>
            <family val="2"/>
          </rPr>
          <t>Kuni 1,4 liitrine bensiinimootor</t>
        </r>
      </text>
    </comment>
    <comment ref="B128" authorId="0" shapeId="0">
      <text>
        <r>
          <rPr>
            <b/>
            <sz val="8"/>
            <rFont val="Tahoma"/>
            <family val="2"/>
          </rPr>
          <t>1,7–2,0-liitrine diiselmootor</t>
        </r>
      </text>
    </comment>
    <comment ref="B129" authorId="0" shapeId="0">
      <text>
        <r>
          <rPr>
            <b/>
            <sz val="8"/>
            <rFont val="Tahoma"/>
            <family val="2"/>
          </rPr>
          <t>Üle 2,0-liitrine diiselmootor</t>
        </r>
      </text>
    </comment>
    <comment ref="B130" authorId="0" shapeId="0">
      <text>
        <r>
          <rPr>
            <b/>
            <sz val="8"/>
            <rFont val="Tahoma"/>
            <family val="2"/>
          </rPr>
          <t>Kasutada siis, kui diiselmootori suurus pole teada</t>
        </r>
      </text>
    </comment>
    <comment ref="B131" authorId="0" shapeId="0">
      <text>
        <r>
          <rPr>
            <b/>
            <sz val="8"/>
            <rFont val="Tahoma"/>
            <family val="2"/>
          </rPr>
          <t xml:space="preserve">Kuni 1,7-liitrine diiselmootor
</t>
        </r>
      </text>
    </comment>
    <comment ref="B132" authorId="0" shapeId="0">
      <text>
        <r>
          <rPr>
            <b/>
            <sz val="8"/>
            <rFont val="Tahoma"/>
            <family val="2"/>
          </rPr>
          <t xml:space="preserve">Keskmise suurusega hübriidauto 1,4–2,0-liitrise bensiinimootoriga </t>
        </r>
      </text>
    </comment>
    <comment ref="B133" authorId="0" shapeId="0">
      <text>
        <r>
          <rPr>
            <b/>
            <sz val="8"/>
            <rFont val="Tahoma"/>
            <family val="2"/>
          </rPr>
          <t xml:space="preserve">Väike hübriidauto kuni 1,4-liitrise bensiinimootoriga 
</t>
        </r>
      </text>
    </comment>
    <comment ref="B134" authorId="0" shapeId="0">
      <text>
        <r>
          <rPr>
            <b/>
            <sz val="8"/>
            <rFont val="Tahoma"/>
            <family val="2"/>
          </rPr>
          <t xml:space="preserve">Kasutada siis, kui hübriidauto suurus pole teada
</t>
        </r>
      </text>
    </comment>
    <comment ref="B135" authorId="0" shapeId="0">
      <text>
        <r>
          <rPr>
            <b/>
            <sz val="8"/>
            <rFont val="Tahoma"/>
            <family val="2"/>
          </rPr>
          <t>Suur hübriidauto üle 2,0-liitrise bensiinimootoriga</t>
        </r>
      </text>
    </comment>
    <comment ref="B136" authorId="0" shapeId="0">
      <text>
        <r>
          <rPr>
            <b/>
            <sz val="8"/>
            <rFont val="Tahoma"/>
            <family val="2"/>
          </rPr>
          <t>Kasutada siis, kui kütus ja sõiduauto tüüp pole teada</t>
        </r>
      </text>
    </comment>
    <comment ref="B137" authorId="0" shapeId="0">
      <text>
        <r>
          <rPr>
            <b/>
            <sz val="8"/>
            <rFont val="Tahoma"/>
            <family val="2"/>
          </rPr>
          <t>Erineva suurusega pistikhübriid (bensiin/taastuvelekter) sõiduautode keskmine</t>
        </r>
      </text>
    </comment>
    <comment ref="B138" authorId="0" shapeId="0">
      <text>
        <r>
          <rPr>
            <b/>
            <sz val="8"/>
            <rFont val="Tahoma"/>
            <family val="2"/>
          </rPr>
          <t>Erineva suurusega pistikhübriid (bensiin/tavaelekter) sõiduautode keskmine</t>
        </r>
      </text>
    </comment>
    <comment ref="B139" authorId="0" shapeId="0">
      <text>
        <r>
          <rPr>
            <b/>
            <sz val="8"/>
            <rFont val="Tahoma"/>
            <family val="2"/>
          </rPr>
          <t>Erineva suurusega pistikhübriid (diisel/taastuvelekter) sõiduautode keskmine</t>
        </r>
      </text>
    </comment>
    <comment ref="B140" authorId="0" shapeId="0">
      <text>
        <r>
          <rPr>
            <b/>
            <sz val="8"/>
            <rFont val="Tahoma"/>
            <family val="2"/>
          </rPr>
          <t>Erineva suurusega pistikhübriid (diisel/tavaelekter) sõiduautode keskmine</t>
        </r>
      </text>
    </comment>
    <comment ref="B141" authorId="0" shapeId="0">
      <text>
        <r>
          <rPr>
            <b/>
            <sz val="8"/>
            <rFont val="Tahoma"/>
            <family val="2"/>
          </rPr>
          <t>Erineva suurusega surubiometaani kasutavate sõiduautode keskmine</t>
        </r>
      </text>
    </comment>
    <comment ref="B142" authorId="0" shapeId="0">
      <text>
        <r>
          <rPr>
            <b/>
            <sz val="8"/>
            <rFont val="Tahoma"/>
            <family val="2"/>
          </rPr>
          <t>Erineva suurusega surumaagaasi kasutavate sõiduautode keskmine</t>
        </r>
      </text>
    </comment>
    <comment ref="B143" authorId="0" shapeId="0">
      <text>
        <r>
          <rPr>
            <b/>
            <sz val="8"/>
            <rFont val="Tahoma"/>
            <family val="2"/>
          </rPr>
          <t>Erineva suurusega taastuvelektriautode keskmine</t>
        </r>
      </text>
    </comment>
    <comment ref="B144" authorId="0" shapeId="0">
      <text>
        <r>
          <rPr>
            <b/>
            <sz val="8"/>
            <rFont val="Tahoma"/>
            <family val="2"/>
          </rPr>
          <t>Erineva suurusega veeldatud naftagaasi kasutavate sõiduautode keskmine</t>
        </r>
      </text>
    </comment>
    <comment ref="B231" authorId="0" shapeId="0">
      <text>
        <r>
          <rPr>
            <b/>
            <sz val="8"/>
            <rFont val="Tahoma"/>
            <family val="2"/>
          </rPr>
          <t xml:space="preserve">Erineva suurusega bio-CNG kütust kasutatavate sõiduautode keskmine
</t>
        </r>
      </text>
    </comment>
    <comment ref="B232" authorId="0" shapeId="0">
      <text>
        <r>
          <rPr>
            <b/>
            <sz val="8"/>
            <rFont val="Tahoma"/>
            <family val="2"/>
          </rPr>
          <t xml:space="preserve">Erineva suurusega CNG kütust kasutatavate sõiduautode keskmine
</t>
        </r>
      </text>
    </comment>
    <comment ref="B233" authorId="0" shapeId="0">
      <text>
        <r>
          <rPr>
            <b/>
            <sz val="8"/>
            <rFont val="Tahoma"/>
            <family val="2"/>
          </rPr>
          <t>Erineva suurusega pistikhübriid (bensiin/taastuvelekter) sõiduautode keskmine</t>
        </r>
      </text>
    </comment>
    <comment ref="B234" authorId="0" shapeId="0">
      <text>
        <r>
          <rPr>
            <b/>
            <sz val="8"/>
            <rFont val="Tahoma"/>
            <family val="2"/>
          </rPr>
          <t>Erineva suurusega pistikhübriid (diisel/taastuvelekter) sõiduautode keskmine</t>
        </r>
      </text>
    </comment>
    <comment ref="B235" authorId="0" shapeId="0">
      <text>
        <r>
          <rPr>
            <b/>
            <sz val="8"/>
            <rFont val="Tahoma"/>
            <family val="2"/>
          </rPr>
          <t>Erineva suurusega pistikhübriid (bensiin/tavaelekter) sõiduautode keskmine</t>
        </r>
      </text>
    </comment>
    <comment ref="B236" authorId="0" shapeId="0">
      <text>
        <r>
          <rPr>
            <b/>
            <sz val="8"/>
            <rFont val="Tahoma"/>
            <family val="2"/>
          </rPr>
          <t>Erineva suurusega pistikhübriid (diisel/tavaelekter) sõiduautode keskmine</t>
        </r>
      </text>
    </comment>
    <comment ref="B237" authorId="0" shapeId="0">
      <text>
        <r>
          <rPr>
            <b/>
            <sz val="8"/>
            <rFont val="Tahoma"/>
            <family val="2"/>
          </rPr>
          <t xml:space="preserve">Erineva suurusega taastuvelektril sõitvate autode keskmine
</t>
        </r>
      </text>
    </comment>
    <comment ref="B238" authorId="0" shapeId="0">
      <text>
        <r>
          <rPr>
            <b/>
            <sz val="8"/>
            <rFont val="Tahoma"/>
            <family val="2"/>
          </rPr>
          <t xml:space="preserve">Erineva suurusega tavaelektril sõitvate autode keskmine
</t>
        </r>
      </text>
    </comment>
    <comment ref="B239" authorId="0" shapeId="0">
      <text>
        <r>
          <rPr>
            <b/>
            <sz val="8"/>
            <rFont val="Tahoma"/>
            <family val="2"/>
          </rPr>
          <t xml:space="preserve">Erineva suurusega LPG kütust kasutavate sõiduautode keskmine
</t>
        </r>
      </text>
    </comment>
    <comment ref="B240" authorId="0" shapeId="0">
      <text>
        <r>
          <rPr>
            <b/>
            <sz val="8"/>
            <rFont val="Tahoma"/>
            <family val="2"/>
          </rPr>
          <t xml:space="preserve">1,4–2,0-liitrine bensiinimootor
</t>
        </r>
      </text>
    </comment>
    <comment ref="B243" authorId="0" shapeId="0">
      <text>
        <r>
          <rPr>
            <b/>
            <sz val="8"/>
            <rFont val="Tahoma"/>
            <family val="2"/>
          </rPr>
          <t>1,7–2,0-liitrine diiselmootor</t>
        </r>
      </text>
    </comment>
    <comment ref="B244" authorId="0" shapeId="0">
      <text>
        <r>
          <rPr>
            <b/>
            <sz val="8"/>
            <rFont val="Tahoma"/>
            <family val="2"/>
          </rPr>
          <t xml:space="preserve">Keskmise suurusega hübriidauto 1,4–2,0-liitrise bensiinimootoriga </t>
        </r>
      </text>
    </comment>
    <comment ref="B245" authorId="0" shapeId="0">
      <text>
        <r>
          <rPr>
            <b/>
            <sz val="8"/>
            <rFont val="Tahoma"/>
            <family val="2"/>
          </rPr>
          <t>Üle 2,0-liitrine bensiinimootor</t>
        </r>
      </text>
    </comment>
    <comment ref="B248" authorId="0" shapeId="0">
      <text>
        <r>
          <rPr>
            <b/>
            <sz val="8"/>
            <rFont val="Tahoma"/>
            <family val="2"/>
          </rPr>
          <t>Üle 2,0-liitrine diiselmootor</t>
        </r>
      </text>
    </comment>
    <comment ref="B249" authorId="0" shapeId="0">
      <text>
        <r>
          <rPr>
            <b/>
            <sz val="8"/>
            <rFont val="Tahoma"/>
            <family val="2"/>
          </rPr>
          <t>Suur hübriidauto üle 2,0-liitrise bensiinimootoriga</t>
        </r>
      </text>
    </comment>
    <comment ref="B250" authorId="0" shapeId="0">
      <text>
        <r>
          <rPr>
            <b/>
            <sz val="8"/>
            <rFont val="Tahoma"/>
            <family val="2"/>
          </rPr>
          <t>Kasutada siis, kui sõiduauto tüüp ja kasutatav kütus on teadmata</t>
        </r>
      </text>
    </comment>
    <comment ref="B251" authorId="0" shapeId="0">
      <text>
        <r>
          <rPr>
            <b/>
            <sz val="8"/>
            <rFont val="Tahoma"/>
            <family val="2"/>
          </rPr>
          <t>Kasutada siis, kui bensiinimootori suurus pole teada</t>
        </r>
      </text>
    </comment>
    <comment ref="B256" authorId="0" shapeId="0">
      <text>
        <r>
          <rPr>
            <b/>
            <sz val="8"/>
            <rFont val="Tahoma"/>
            <family val="2"/>
          </rPr>
          <t>Kasutada siis, kui hübriidauto suurus pole teada</t>
        </r>
      </text>
    </comment>
    <comment ref="B257" authorId="0" shapeId="0">
      <text>
        <r>
          <rPr>
            <b/>
            <sz val="8"/>
            <rFont val="Tahoma"/>
            <family val="2"/>
          </rPr>
          <t>Kuni 1,4 liitrine bensiinimootor</t>
        </r>
      </text>
    </comment>
    <comment ref="B260" authorId="0" shapeId="0">
      <text>
        <r>
          <rPr>
            <b/>
            <sz val="8"/>
            <rFont val="Tahoma"/>
            <family val="2"/>
          </rPr>
          <t xml:space="preserve">Kuni 1,7-liitrine diiselmootor
</t>
        </r>
      </text>
    </comment>
    <comment ref="B261" authorId="0" shapeId="0">
      <text>
        <r>
          <rPr>
            <b/>
            <sz val="8"/>
            <rFont val="Tahoma"/>
            <family val="2"/>
          </rPr>
          <t xml:space="preserve">Väike hübriidauto kuni 1,4-liitrise bensiinimootoriga 
</t>
        </r>
      </text>
    </comment>
    <comment ref="B279" authorId="0" shapeId="0">
      <text>
        <r>
          <rPr>
            <b/>
            <sz val="8"/>
            <rFont val="Tahoma"/>
            <family val="2"/>
          </rPr>
          <t xml:space="preserve">Taastuvelekter
</t>
        </r>
      </text>
    </comment>
    <comment ref="B286" authorId="0" shapeId="0">
      <text>
        <r>
          <rPr>
            <b/>
            <sz val="8"/>
            <rFont val="Tahoma"/>
            <family val="2"/>
          </rPr>
          <t xml:space="preserve">Taastuvelekter
</t>
        </r>
      </text>
    </comment>
    <comment ref="I291" authorId="1" shapeId="0">
      <text>
        <r>
          <rPr>
            <sz val="9"/>
            <color indexed="81"/>
            <rFont val="Segoe UI"/>
            <family val="2"/>
          </rPr>
          <t xml:space="preserve">Ampler Bikes: 0,0048
Comodule: 0,02
Keskmine: 0,0124
</t>
        </r>
      </text>
    </comment>
    <comment ref="B299" authorId="0" shapeId="0">
      <text>
        <r>
          <rPr>
            <b/>
            <sz val="8"/>
            <rFont val="Tahoma"/>
            <family val="2"/>
          </rPr>
          <t xml:space="preserve">Erineva suurusega bio-CNG kütust kasutatavate sõiduautode keskmine
</t>
        </r>
      </text>
    </comment>
    <comment ref="B300" authorId="0" shapeId="0">
      <text>
        <r>
          <rPr>
            <b/>
            <sz val="8"/>
            <rFont val="Tahoma"/>
            <family val="2"/>
          </rPr>
          <t xml:space="preserve">Erineva suurusega CNG kütust kasutatavate sõiduautode keskmine
</t>
        </r>
      </text>
    </comment>
    <comment ref="B301" authorId="0" shapeId="0">
      <text>
        <r>
          <rPr>
            <b/>
            <sz val="8"/>
            <rFont val="Tahoma"/>
            <family val="2"/>
          </rPr>
          <t>Erineva suurusega pistikhübriid (bensiin/taastuvelekter) sõiduautode keskmine</t>
        </r>
      </text>
    </comment>
    <comment ref="B302" authorId="0" shapeId="0">
      <text>
        <r>
          <rPr>
            <b/>
            <sz val="8"/>
            <rFont val="Tahoma"/>
            <family val="2"/>
          </rPr>
          <t>Erineva suurusega pistikhübriid (bensiin/tavaelekter) sõiduautode keskmine</t>
        </r>
      </text>
    </comment>
    <comment ref="B303" authorId="0" shapeId="0">
      <text>
        <r>
          <rPr>
            <b/>
            <sz val="8"/>
            <rFont val="Tahoma"/>
            <family val="2"/>
          </rPr>
          <t>Erineva suurusega pistikhübriid (diisel/taastuvelekter) sõiduautode keskmine</t>
        </r>
      </text>
    </comment>
    <comment ref="B304" authorId="0" shapeId="0">
      <text>
        <r>
          <rPr>
            <b/>
            <sz val="8"/>
            <rFont val="Tahoma"/>
            <family val="2"/>
          </rPr>
          <t>Erineva suurusega pistikhübriid (diisel/tavaelekter) sõiduautode keskmine</t>
        </r>
      </text>
    </comment>
    <comment ref="B305" authorId="0" shapeId="0">
      <text>
        <r>
          <rPr>
            <b/>
            <sz val="8"/>
            <rFont val="Tahoma"/>
            <family val="2"/>
          </rPr>
          <t xml:space="preserve">Erineva suurusega taastuvelektriautode keskmine
</t>
        </r>
      </text>
    </comment>
    <comment ref="B306" authorId="0" shapeId="0">
      <text>
        <r>
          <rPr>
            <b/>
            <sz val="8"/>
            <rFont val="Tahoma"/>
            <family val="2"/>
          </rPr>
          <t xml:space="preserve">Erineva suurusega tavaelektril sõitvate autode keskmine
</t>
        </r>
      </text>
    </comment>
    <comment ref="B307" authorId="0" shapeId="0">
      <text>
        <r>
          <rPr>
            <b/>
            <sz val="8"/>
            <rFont val="Tahoma"/>
            <family val="2"/>
          </rPr>
          <t xml:space="preserve">Erineva suurusega LPG kütust kasutavate sõiduautode keskmine
</t>
        </r>
      </text>
    </comment>
    <comment ref="B308" authorId="0" shapeId="0">
      <text>
        <r>
          <rPr>
            <b/>
            <sz val="8"/>
            <rFont val="Tahoma"/>
            <family val="2"/>
          </rPr>
          <t xml:space="preserve">1,4–2,0-liitrine bensiinimootor
</t>
        </r>
      </text>
    </comment>
    <comment ref="B311" authorId="0" shapeId="0">
      <text>
        <r>
          <rPr>
            <b/>
            <sz val="8"/>
            <rFont val="Tahoma"/>
            <family val="2"/>
          </rPr>
          <t>1,7–2,0-liitrine diiselmootor</t>
        </r>
      </text>
    </comment>
    <comment ref="B312" authorId="0" shapeId="0">
      <text>
        <r>
          <rPr>
            <b/>
            <sz val="8"/>
            <rFont val="Tahoma"/>
            <family val="2"/>
          </rPr>
          <t xml:space="preserve">Keskmise suurusega hübriidauto 1,4–2,0-liitrise bensiinimootoriga </t>
        </r>
      </text>
    </comment>
    <comment ref="B313" authorId="0" shapeId="0">
      <text>
        <r>
          <rPr>
            <b/>
            <sz val="8"/>
            <rFont val="Tahoma"/>
            <family val="2"/>
          </rPr>
          <t>Üle 2,0-liitrine bensiinimootor</t>
        </r>
      </text>
    </comment>
    <comment ref="B316" authorId="0" shapeId="0">
      <text>
        <r>
          <rPr>
            <b/>
            <sz val="8"/>
            <rFont val="Tahoma"/>
            <family val="2"/>
          </rPr>
          <t>Üle 2,0-liitrine diiselmootor</t>
        </r>
      </text>
    </comment>
    <comment ref="B317" authorId="0" shapeId="0">
      <text>
        <r>
          <rPr>
            <b/>
            <sz val="8"/>
            <rFont val="Tahoma"/>
            <family val="2"/>
          </rPr>
          <t>Suur hübriidauto üle 2,0-liitrise bensiinimootoriga</t>
        </r>
      </text>
    </comment>
    <comment ref="B318" authorId="0" shapeId="0">
      <text>
        <r>
          <rPr>
            <b/>
            <sz val="8"/>
            <rFont val="Tahoma"/>
            <family val="2"/>
          </rPr>
          <t>Kasutada siis, kui sõiduauto tüüp ja kasutatav kütus on teadmata</t>
        </r>
      </text>
    </comment>
    <comment ref="B319" authorId="0" shapeId="0">
      <text>
        <r>
          <rPr>
            <b/>
            <sz val="8"/>
            <rFont val="Tahoma"/>
            <family val="2"/>
          </rPr>
          <t>Kasutada siis, kui bensiinimootori suurus pole teada</t>
        </r>
      </text>
    </comment>
    <comment ref="B324" authorId="0" shapeId="0">
      <text>
        <r>
          <rPr>
            <b/>
            <sz val="8"/>
            <rFont val="Tahoma"/>
            <family val="2"/>
          </rPr>
          <t>Kasutada siis, kui hübriidauto suurus pole teada</t>
        </r>
      </text>
    </comment>
    <comment ref="B325" authorId="0" shapeId="0">
      <text>
        <r>
          <rPr>
            <b/>
            <sz val="8"/>
            <rFont val="Tahoma"/>
            <family val="2"/>
          </rPr>
          <t>Kuni 1,4 liitrine bensiinimootor</t>
        </r>
      </text>
    </comment>
    <comment ref="B328" authorId="0" shapeId="0">
      <text>
        <r>
          <rPr>
            <b/>
            <sz val="8"/>
            <rFont val="Tahoma"/>
            <family val="2"/>
          </rPr>
          <t xml:space="preserve">Kuni 1,7-liitrine diiselmootor
</t>
        </r>
      </text>
    </comment>
    <comment ref="B329" authorId="0" shapeId="0">
      <text>
        <r>
          <rPr>
            <b/>
            <sz val="8"/>
            <rFont val="Tahoma"/>
            <family val="2"/>
          </rPr>
          <t xml:space="preserve">Väike hübriidauto kuni 1,4-liitrise bensiinimootoriga 
</t>
        </r>
      </text>
    </comment>
    <comment ref="B338" authorId="0" shapeId="0">
      <text>
        <r>
          <rPr>
            <b/>
            <sz val="8"/>
            <rFont val="Tahoma"/>
            <family val="2"/>
          </rPr>
          <t xml:space="preserve">Taastuvelekter
</t>
        </r>
      </text>
    </comment>
    <comment ref="B340" authorId="0" shapeId="0">
      <text>
        <r>
          <rPr>
            <b/>
            <sz val="8"/>
            <rFont val="Tahoma"/>
            <family val="2"/>
          </rPr>
          <t xml:space="preserve">Taastuvelekter
</t>
        </r>
      </text>
    </comment>
    <comment ref="B341" authorId="0" shapeId="0">
      <text>
        <r>
          <rPr>
            <b/>
            <sz val="8"/>
            <rFont val="Tahoma"/>
            <family val="2"/>
          </rPr>
          <t xml:space="preserve">Taastuvelekter
</t>
        </r>
      </text>
    </comment>
  </commentList>
</comments>
</file>

<file path=xl/sharedStrings.xml><?xml version="1.0" encoding="utf-8"?>
<sst xmlns="http://schemas.openxmlformats.org/spreadsheetml/2006/main" count="8503" uniqueCount="2351">
  <si>
    <t>KASVUHOONEGAASIDE JALAJÄLJE ARVUTUSMUDEL ORGANISATSIOONIDELE</t>
  </si>
  <si>
    <t>Sisukord</t>
  </si>
  <si>
    <t>KHG JALAJÄLJE ARVUTUSMUDELI TAUST JA EESMÄRK</t>
  </si>
  <si>
    <t>KASUTUSALA</t>
  </si>
  <si>
    <t>KHG JALAJÄLJE ARVUTUSMUDELI SISU JA KASUTAMINE</t>
  </si>
  <si>
    <t xml:space="preserve"> ̶  Organisatsiooni enda sõidukite kasutusest tulenev KHG heide (M1-Sõidukid)</t>
  </si>
  <si>
    <t xml:space="preserve"> ̶  Organisatsiooni personali tööreisidest tulenev kaudne KHG heide (M3-Tööreisid)</t>
  </si>
  <si>
    <t xml:space="preserve"> ̶  Finantsinvesteeringutega seotud kaudne KHG heide (M3-Finantsinvesteeringud)</t>
  </si>
  <si>
    <t xml:space="preserve">KHG JALAJÄLJE ARVUTUSMUDELI SISUKORD </t>
  </si>
  <si>
    <t>Sissejuhatus</t>
  </si>
  <si>
    <t>Arvutusmudeli taust, eesmärk, sisu ja kasutamine</t>
  </si>
  <si>
    <t>Organisatsioon</t>
  </si>
  <si>
    <t>Organisatsiooni andmed ja jalajälje hindamise ulatus</t>
  </si>
  <si>
    <t>Mõjuala 1</t>
  </si>
  <si>
    <t>M1-Energia</t>
  </si>
  <si>
    <t>Organisatsiooni toodetud energia KHG heide</t>
  </si>
  <si>
    <t>M1-Sõidukid</t>
  </si>
  <si>
    <t>M1-Hajusheitmed</t>
  </si>
  <si>
    <t>F-gaaside kasutamisest tulenev KHG heide</t>
  </si>
  <si>
    <t>Mõjuala 2</t>
  </si>
  <si>
    <t>Mõjuala 3</t>
  </si>
  <si>
    <t>M3-Transport</t>
  </si>
  <si>
    <t>M3-Tööreisid</t>
  </si>
  <si>
    <t>Organisatsiooni tööreisidest tulenev KHG heide</t>
  </si>
  <si>
    <t>M3-Tööle-koju</t>
  </si>
  <si>
    <t>Töötajate tööle-koju liikumisest tulenev KHG heide</t>
  </si>
  <si>
    <t>M3-Jäätmed</t>
  </si>
  <si>
    <t>Jäätmekäitlusest tulenev KHG heide</t>
  </si>
  <si>
    <t>M3-Finantsinvesteeringud</t>
  </si>
  <si>
    <t>Finantsinvesteeringutest tulenev KHG heide</t>
  </si>
  <si>
    <t>Tulemused</t>
  </si>
  <si>
    <t>M1, M2 ja M3 KHG heite koondtulemused</t>
  </si>
  <si>
    <t>Eriheitetegurid</t>
  </si>
  <si>
    <t>HT-Energia (M1, M2)</t>
  </si>
  <si>
    <t>Soojus- ja elektrienergia eriheitetegurid</t>
  </si>
  <si>
    <t>HT-Hajusheitmed (M1)</t>
  </si>
  <si>
    <t>HT-Sõidukikütused (M1)</t>
  </si>
  <si>
    <t>Sõidukikütuste eriheitetegurid</t>
  </si>
  <si>
    <t>HT-Transport (M3)</t>
  </si>
  <si>
    <t>HT-Tööreisid (M3)</t>
  </si>
  <si>
    <t>Tööreiside eriheitetegurid</t>
  </si>
  <si>
    <t>HT-Tööle-koju (M3)</t>
  </si>
  <si>
    <t>Tööle-koju liikumise eriheitetegurid</t>
  </si>
  <si>
    <t>HT-Jäätmed (M3)</t>
  </si>
  <si>
    <t>Viited</t>
  </si>
  <si>
    <t>Arvutusmudelis viidatud andmeallikate loetelu</t>
  </si>
  <si>
    <t>ORGANISATSIOONI ANDMED</t>
  </si>
  <si>
    <t>1. Organisatsiooni/ettevõtte nimi</t>
  </si>
  <si>
    <t>1. ORGANISATSIOONI/ETTEVÕTTE NIMI:</t>
  </si>
  <si>
    <t>2. ARUANDLUSPERIOOD</t>
  </si>
  <si>
    <t>Aasta</t>
  </si>
  <si>
    <t>Ajaline täpsustus (vajadusel)</t>
  </si>
  <si>
    <t>Number of Days</t>
  </si>
  <si>
    <t>3. MUUD ANDMED</t>
  </si>
  <si>
    <t>Töötajate arv kokku</t>
  </si>
  <si>
    <t>AASTA</t>
  </si>
  <si>
    <t>4. ORGANISATSIOONI ULATUSE MÄÄRATLEMINE</t>
  </si>
  <si>
    <t>Üksuse nr</t>
  </si>
  <si>
    <t>Üksuse nimetus</t>
  </si>
  <si>
    <t>Asukoht (aadress, linn)</t>
  </si>
  <si>
    <t>5. KHG JALAJÄLJE ULATUSE MÄÄRATLEMINE</t>
  </si>
  <si>
    <t>Mõjuala</t>
  </si>
  <si>
    <t>Kategooria (tegevus/heiteallikas)</t>
  </si>
  <si>
    <t>M1 - Elektrienergia tootmine</t>
  </si>
  <si>
    <t xml:space="preserve">M2 - Ostetud elektrienergia </t>
  </si>
  <si>
    <t>M3 - Sisseostetud transporditeenus</t>
  </si>
  <si>
    <t>Vajalikud andmed ja arvutusjuhised</t>
  </si>
  <si>
    <t>Kogus</t>
  </si>
  <si>
    <t xml:space="preserve">Kas kasutate arvutusmudeli eriheitetegurit? </t>
  </si>
  <si>
    <t>Mudeli eriheitetegur</t>
  </si>
  <si>
    <t>Muu eriheitetegur (sisestage siia)</t>
  </si>
  <si>
    <t>Allikas 
(kui kasutate enda eriheitetegurit, siis sisestage selle allikas või määratlemise alus)</t>
  </si>
  <si>
    <t>KHG heide</t>
  </si>
  <si>
    <t>Jah/Ei</t>
  </si>
  <si>
    <t>Diisel (kWh)</t>
  </si>
  <si>
    <t>Jah</t>
  </si>
  <si>
    <t>Freesturvas (kWh)</t>
  </si>
  <si>
    <t>Olmejäätmed (kWh)</t>
  </si>
  <si>
    <t>Ei</t>
  </si>
  <si>
    <t>Kütuseliik</t>
  </si>
  <si>
    <t>Kütuse kogus</t>
  </si>
  <si>
    <t>Ühik</t>
  </si>
  <si>
    <t>Mudeli</t>
  </si>
  <si>
    <t>eriheitetegur</t>
  </si>
  <si>
    <t>kg</t>
  </si>
  <si>
    <t>Kas kasutate arvutusmudeli eriheitetegurit?</t>
  </si>
  <si>
    <t xml:space="preserve">KHG heide </t>
  </si>
  <si>
    <t>Bensiin (kaubik)</t>
  </si>
  <si>
    <t>Bio-CNG (kaubik)</t>
  </si>
  <si>
    <t>LPG (raskeveok/buss)</t>
  </si>
  <si>
    <t>Bensiin (mootorratas)</t>
  </si>
  <si>
    <t>Läbisõit (km)</t>
  </si>
  <si>
    <t>Surumaagaas (CNG) (keskmistatud)</t>
  </si>
  <si>
    <t>MÕJUALA 1: HAJUSHEITMED</t>
  </si>
  <si>
    <t>Sellistes seadmetes kasutatakse külmaainena eelkõige fluoritud kasvuhoonegaase (F-gaasid), mis klassifitseeruvad oluliste kasvuhoonegaasidena.</t>
  </si>
  <si>
    <t>Kasutatav F-gaas</t>
  </si>
  <si>
    <t>F-gaasi lekkekogus</t>
  </si>
  <si>
    <t>Globaalse soojenemise potentsiaal</t>
  </si>
  <si>
    <t>Allikas</t>
  </si>
  <si>
    <t>HCFC-21</t>
  </si>
  <si>
    <t>Taastuv- või tavaelekter</t>
  </si>
  <si>
    <t>Kogus (kWh)</t>
  </si>
  <si>
    <t>Tavaelekter</t>
  </si>
  <si>
    <t>Soojusenergia päritolu</t>
  </si>
  <si>
    <t>Kaugküte - Eesti keskmine</t>
  </si>
  <si>
    <t>MÕJUALA 3: TRANSPORT</t>
  </si>
  <si>
    <t>Kaubaveo vahemaa (km)</t>
  </si>
  <si>
    <t>Kauba kogus (t)</t>
  </si>
  <si>
    <t>Veoauto täituvus</t>
  </si>
  <si>
    <t>Transpordi vahemaa (km)</t>
  </si>
  <si>
    <t>MÕJUALA 3: TÖÖREISID</t>
  </si>
  <si>
    <t>Vahemaa (km)</t>
  </si>
  <si>
    <t>Vahemaa (sõitja-km)</t>
  </si>
  <si>
    <t>MÕJUALA 3: TÖÖTAJATE TÖÖLE-KOJU LIIKUMINE</t>
  </si>
  <si>
    <t>Jalgratas</t>
  </si>
  <si>
    <t>MÕJUALA 3: JÄÄTMED</t>
  </si>
  <si>
    <t>JÄÄTMETEST TULENEV KHG HEIDE</t>
  </si>
  <si>
    <t>Jäätmeliik</t>
  </si>
  <si>
    <t>Jäätmete kogus (t)</t>
  </si>
  <si>
    <t>Liigiti kogutud biojäätmed</t>
  </si>
  <si>
    <t>Liigiti kogutud paber ja kartong</t>
  </si>
  <si>
    <t>Liigiti kogutud klaaspakend</t>
  </si>
  <si>
    <t>Liigiti kogutud segapakend</t>
  </si>
  <si>
    <t>SISSEOSTETUD KAUPADEST JA TEENUSTEST TULENEV KHG HEIDE</t>
  </si>
  <si>
    <t>Sisseostetud kaubad ja teenused</t>
  </si>
  <si>
    <t>Maksumus</t>
  </si>
  <si>
    <t>Eriheitetegur</t>
  </si>
  <si>
    <t>Eriheiteteguri allikas või määratlemise alus</t>
  </si>
  <si>
    <t>€</t>
  </si>
  <si>
    <t>MÜÜDUD KAUPADEST JA TEENUSTEST TULENEV KHG HEIDE</t>
  </si>
  <si>
    <t>Müüdud kaubad ja teenused</t>
  </si>
  <si>
    <t>MÕJUALA 3: FINANTSINVESTEERINGUD</t>
  </si>
  <si>
    <t>FINANTSINVESTEERINGUTEST TULENEV KHG HEIDE</t>
  </si>
  <si>
    <t>KHG JALAJÄLJE KOONDTULEMUSED</t>
  </si>
  <si>
    <t>Tegevus</t>
  </si>
  <si>
    <t>t</t>
  </si>
  <si>
    <t>Ostetud elektrienergia</t>
  </si>
  <si>
    <t>Ostetud soojusenergia</t>
  </si>
  <si>
    <t>Jäätmed</t>
  </si>
  <si>
    <t>Finantsinvesteeringud</t>
  </si>
  <si>
    <t>M1, M2 - SOOJUS- JA ELEKTRIENERGIA ERIHEITETEGURID</t>
  </si>
  <si>
    <t>M1 - SOOJUS- JA ELEKTRIENERGIA TOOTMINE</t>
  </si>
  <si>
    <t>Andmeallikas</t>
  </si>
  <si>
    <t>Biometaan (kWh)</t>
  </si>
  <si>
    <t>Diisel (l)</t>
  </si>
  <si>
    <t>Geotermaalenergia (kWh)</t>
  </si>
  <si>
    <t xml:space="preserve">CoM 2017 </t>
  </si>
  <si>
    <t>Hüdroenergia (kWh)</t>
  </si>
  <si>
    <t>Kerge kütteõli (kWh)</t>
  </si>
  <si>
    <t>Põlevkivi generaatorgaas (Kiviõli) (kWh)</t>
  </si>
  <si>
    <t>Põlevkivi generaatorgaas (VKG) (kWh)</t>
  </si>
  <si>
    <t>Põlevkivi poolkoksigaas (Enefit 280) (kWh)</t>
  </si>
  <si>
    <t>Põlevkivi poolkoksigaas (Kiviõli) (kWh)</t>
  </si>
  <si>
    <t>Põlevkivi poolkoksigaas (VKG Petr I) (kWh)</t>
  </si>
  <si>
    <t>Põlevkivi poolkoksigaas (VKG Petr II) (kWh)</t>
  </si>
  <si>
    <t>Põlevkiviõli kerge fraktsioon (kWh)</t>
  </si>
  <si>
    <t>Põlevkiviõli raske fraktsioon (kWh)</t>
  </si>
  <si>
    <t>Päikeseenergia (kWh)</t>
  </si>
  <si>
    <t>Raske kütteõli (kWh)</t>
  </si>
  <si>
    <t>Roheline vesinik (kWh)</t>
  </si>
  <si>
    <t>JEC WTT v5 Appendix 1</t>
  </si>
  <si>
    <t>Turbabrikett (kg)</t>
  </si>
  <si>
    <t>Turbabrikett (kWh)</t>
  </si>
  <si>
    <t>Tuuleenergia (kWh)</t>
  </si>
  <si>
    <t>Tuumaenergia (kWh)</t>
  </si>
  <si>
    <t xml:space="preserve">JEC WTT v5 </t>
  </si>
  <si>
    <t>Tükkturvas (kWh)</t>
  </si>
  <si>
    <t>Vedelgaas (LNG) (kWh)</t>
  </si>
  <si>
    <t>Veeldatud naftagaas (LPG) (kWh)</t>
  </si>
  <si>
    <t>M2 - SISSEOSTETUD ELEKTER</t>
  </si>
  <si>
    <t>Elektrienergia</t>
  </si>
  <si>
    <t>M2 - SISSEOSTETUD SOOJUSENERGIA</t>
  </si>
  <si>
    <t xml:space="preserve">Eriheitetegur </t>
  </si>
  <si>
    <t>AR4</t>
  </si>
  <si>
    <t>Kaugküte - freesturvas</t>
  </si>
  <si>
    <t xml:space="preserve">Kaugküte - kerge kütteõli </t>
  </si>
  <si>
    <t>Kaugküte - maagaas</t>
  </si>
  <si>
    <t>Kaugküte - põlevkivi</t>
  </si>
  <si>
    <t>Kaugküte - põlevkiviõli raske fraktsioon</t>
  </si>
  <si>
    <t>%</t>
  </si>
  <si>
    <t>EJKÜ, TalTech 2021</t>
  </si>
  <si>
    <t>M1 - HAJUSHEITMED</t>
  </si>
  <si>
    <t>F-gaasid</t>
  </si>
  <si>
    <t>IPCC AR5</t>
  </si>
  <si>
    <t>CFC-11</t>
  </si>
  <si>
    <t>CFC-113</t>
  </si>
  <si>
    <t>CFC-114</t>
  </si>
  <si>
    <t>CFC-115</t>
  </si>
  <si>
    <t>CFC-12</t>
  </si>
  <si>
    <t>CFC-13</t>
  </si>
  <si>
    <t>N2O</t>
  </si>
  <si>
    <t>HCFC-123</t>
  </si>
  <si>
    <t>HCFC-124</t>
  </si>
  <si>
    <t>HCFC-141b</t>
  </si>
  <si>
    <t>HCFC-142b</t>
  </si>
  <si>
    <t>HCFC-225ca</t>
  </si>
  <si>
    <t>HCFC-225cb</t>
  </si>
  <si>
    <t>HCFE-235da2</t>
  </si>
  <si>
    <t>HFC-125 (R-125)</t>
  </si>
  <si>
    <t>HFC-134 (R-134)</t>
  </si>
  <si>
    <t>HFC-134a (R-134a)</t>
  </si>
  <si>
    <t>HFC-143 (R-143)</t>
  </si>
  <si>
    <t>HFC-143a (R-143a)</t>
  </si>
  <si>
    <t>HFC-152 (R-152)</t>
  </si>
  <si>
    <t>HFC-152a (R-152a)</t>
  </si>
  <si>
    <t>HFC-161 (R-161)</t>
  </si>
  <si>
    <t>HFC-227ea (R-227ea)</t>
  </si>
  <si>
    <t>HFC-23 (R-23)</t>
  </si>
  <si>
    <t>HFC-236cb (R-236cb)</t>
  </si>
  <si>
    <t>HFC-236ea (R-236ea)</t>
  </si>
  <si>
    <t>HFC-236fa (R-236fa)</t>
  </si>
  <si>
    <t>HFC-245ca (R-245ca)</t>
  </si>
  <si>
    <t>HFC-245fa (R-245fa)</t>
  </si>
  <si>
    <t>HFC-32 (R-32)</t>
  </si>
  <si>
    <t>HFC-365mfc  </t>
  </si>
  <si>
    <t>HFC-41 (R-41)</t>
  </si>
  <si>
    <t>HFC-43-10mee (R-4310)</t>
  </si>
  <si>
    <t>HFE-125</t>
  </si>
  <si>
    <t>HFE-134</t>
  </si>
  <si>
    <t>HFE-143a</t>
  </si>
  <si>
    <t>HFE-236ca12 (HG-10)</t>
  </si>
  <si>
    <t>HFE-245cb2</t>
  </si>
  <si>
    <t>HFE-245fa2</t>
  </si>
  <si>
    <t>HFE-254cb2</t>
  </si>
  <si>
    <t>HFE-338pcc13 (HG-01)</t>
  </si>
  <si>
    <t>HFE-347mcc3</t>
  </si>
  <si>
    <t>HFE-347mmy</t>
  </si>
  <si>
    <t>HFE-347pcf2</t>
  </si>
  <si>
    <t>HFE-356pcc3</t>
  </si>
  <si>
    <t>HFE-356pcf3</t>
  </si>
  <si>
    <t>HFE-374pc2</t>
  </si>
  <si>
    <t>HFE-43-10pccc124 (H-Galden 1040x)</t>
  </si>
  <si>
    <t>HFE-449sl (HFE-7100)</t>
  </si>
  <si>
    <t>HFE-569sf2 (HFE-7200)</t>
  </si>
  <si>
    <t xml:space="preserve">Lämmastiktrifluoriid </t>
  </si>
  <si>
    <t>NF3</t>
  </si>
  <si>
    <t>CH4</t>
  </si>
  <si>
    <t>PFC-116 (Perfluoroethane)  </t>
  </si>
  <si>
    <t>PFC-14 (Perfluoromethane)</t>
  </si>
  <si>
    <t>PFC-218 (Perfluoropropane)  </t>
  </si>
  <si>
    <t>PFC-3-1-10 (Perfluorobutane)  </t>
  </si>
  <si>
    <t>PFC-318 (Perfluorocyclobutane)</t>
  </si>
  <si>
    <t>PFC-4-1-12 (Perfluoropentane)  </t>
  </si>
  <si>
    <t>PFC-5-1-14 (Perfluorohexane)  </t>
  </si>
  <si>
    <t>PFC-9-1-18 (Perfluorodecalin)  </t>
  </si>
  <si>
    <t>R-22 (HCFC-22)</t>
  </si>
  <si>
    <t>R-401A</t>
  </si>
  <si>
    <t>HFC</t>
  </si>
  <si>
    <t>R-401B</t>
  </si>
  <si>
    <t>R-401C</t>
  </si>
  <si>
    <t>R-402A</t>
  </si>
  <si>
    <t>R-402B</t>
  </si>
  <si>
    <t>R-403A</t>
  </si>
  <si>
    <t>PFC</t>
  </si>
  <si>
    <t>R-403B</t>
  </si>
  <si>
    <t>R-404A</t>
  </si>
  <si>
    <t>R-407A</t>
  </si>
  <si>
    <t>R-407B</t>
  </si>
  <si>
    <t>R-407C</t>
  </si>
  <si>
    <t>R-407D</t>
  </si>
  <si>
    <t>R-407E</t>
  </si>
  <si>
    <t>R-407F</t>
  </si>
  <si>
    <t>R-408A</t>
  </si>
  <si>
    <t>R-410A</t>
  </si>
  <si>
    <t>R-410B</t>
  </si>
  <si>
    <t>R-411A</t>
  </si>
  <si>
    <t>R-411B</t>
  </si>
  <si>
    <t>R-412A</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</si>
  <si>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</si>
  <si>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</si>
  <si>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</si>
  <si>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</si>
  <si>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</si>
  <si>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</si>
  <si>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</si>
  <si>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</si>
  <si>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</si>
  <si>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</si>
  <si>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</si>
  <si>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</si>
  <si>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</si>
  <si>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</si>
  <si>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</si>
  <si>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</si>
  <si>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</si>
  <si>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</si>
  <si>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</si>
  <si>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</si>
  <si>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</si>
  <si>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</si>
  <si>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</si>
  <si>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</si>
  <si>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</si>
  <si>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</si>
  <si>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R-434A</t>
  </si>
  <si>
    <t>R-435A</t>
  </si>
  <si>
    <t>R-437A</t>
  </si>
  <si>
    <t>R-438A</t>
  </si>
  <si>
    <t>R-439A</t>
  </si>
  <si>
    <t>R-444A</t>
  </si>
  <si>
    <t>R-445A</t>
  </si>
  <si>
    <t>R-500</t>
  </si>
  <si>
    <t>R-503</t>
  </si>
  <si>
    <t>R-504</t>
  </si>
  <si>
    <t>R-507</t>
  </si>
  <si>
    <t>R-507A</t>
  </si>
  <si>
    <t>R-509</t>
  </si>
  <si>
    <t>R-509A</t>
  </si>
  <si>
    <t>R-512A</t>
  </si>
  <si>
    <t>CO2</t>
  </si>
  <si>
    <t>Trifluorometüülväävelpentafluoriid</t>
  </si>
  <si>
    <t>Unknown</t>
  </si>
  <si>
    <t>Väävelheksafluoriid</t>
  </si>
  <si>
    <t>SF6</t>
  </si>
  <si>
    <t>M1 - SÕIDUKIKÜTUSTE ERIHEITETEGURID</t>
  </si>
  <si>
    <t>UK GHG Conversion Factors 2021</t>
  </si>
  <si>
    <t>Rongidiisel</t>
  </si>
  <si>
    <t>GHG protocol/IPCC</t>
  </si>
  <si>
    <t>Bensiin (raskeveok)</t>
  </si>
  <si>
    <t>Bensiin (sõiduauto)</t>
  </si>
  <si>
    <t>Bio-CNG (raskeveok/buss)</t>
  </si>
  <si>
    <t>Bio-CNG (sõiduauto)</t>
  </si>
  <si>
    <t>CNG (kaubik)</t>
  </si>
  <si>
    <t>CNG (raskeveok/buss)</t>
  </si>
  <si>
    <t>CNG (sõiduauto)</t>
  </si>
  <si>
    <t>Diisel (buss)</t>
  </si>
  <si>
    <t>Diisel (kaubik)</t>
  </si>
  <si>
    <t>Diisel (raskeveok)</t>
  </si>
  <si>
    <t>Diisel (sõiduauto)</t>
  </si>
  <si>
    <t>LPG (kaubik)</t>
  </si>
  <si>
    <t>LPG (sõiduauto)</t>
  </si>
  <si>
    <t>Bensiinimootoriga sõiduautode keskmine</t>
  </si>
  <si>
    <t>Diiselmootoriga sõiduautode keskmine</t>
  </si>
  <si>
    <t>Bensiini- ja diiselmootoriga sõiduautode keskmine</t>
  </si>
  <si>
    <t>Hübriidmootoriga sõiduautode keskmine</t>
  </si>
  <si>
    <t>Veeldatud naftagaas (LPG) (keskmistatud)</t>
  </si>
  <si>
    <t>Arvutatud eeldusel, et keskmise sõiduauto gaasitarbimine on 0,057 kg/km ning kasutades sõiduauto bio-CNG eriheitetegurit kg kohta</t>
  </si>
  <si>
    <t>Keskmistatud sõiduautode keskmine</t>
  </si>
  <si>
    <t>Taastuvelekter (keskmistatud)</t>
  </si>
  <si>
    <t>Petrol</t>
  </si>
  <si>
    <t>Small</t>
  </si>
  <si>
    <t>Medium</t>
  </si>
  <si>
    <t>Diesel</t>
  </si>
  <si>
    <t>CNG</t>
  </si>
  <si>
    <t>M3 - SISSEOSTETUD TRANSPORDITEENUS</t>
  </si>
  <si>
    <t>Sõiduki tüüp</t>
  </si>
  <si>
    <t>Arvestuslik keskmine koormakaal 1,2 t (LIPASTO arvutusvalem)</t>
  </si>
  <si>
    <t xml:space="preserve">Osalise koormaga, nt 50% </t>
  </si>
  <si>
    <t>Täiskoorem</t>
  </si>
  <si>
    <t>Keskmine km kohta</t>
  </si>
  <si>
    <t>Keskmine arvestuslik täiskoorma kaal 3,5 t (LIPASTO)</t>
  </si>
  <si>
    <t>KHG inventuur/COPERT</t>
  </si>
  <si>
    <t>Keskmine arvestuslik täiskoorma kaal 9 t (LIPASTO)</t>
  </si>
  <si>
    <t>Keskmine arvestuslik täiskoorma kaal 19 t (LIPASTO)</t>
  </si>
  <si>
    <t>Keskmine arvestuslik täiskoorma kaal 25 t (LIPASTO)</t>
  </si>
  <si>
    <t>KHG inventuur/COPERT (kuna liigendveoautode kohta andmed puuduvad, siis on kasutatud jäiga kerega veoautode 20-32 t keskmist eriheitetegurit)</t>
  </si>
  <si>
    <t>Keskmine arvestuslik täiskoorma kaal 40 t (LIPASTO)</t>
  </si>
  <si>
    <t>KHG inventuur/COPERT (kuna liigendveoautode kohta andmed puuduvad, siis on kasutatud jäiga kerega veoautode &gt;32 t keskmist eriheitetegurit)</t>
  </si>
  <si>
    <t>Kaudsete heidetega</t>
  </si>
  <si>
    <t>Ilma kaudsete heideteta</t>
  </si>
  <si>
    <t>Parvlaev (reisi-kaubalaev, nt Tallinn-Helsingi/Stockholm)</t>
  </si>
  <si>
    <t>LIPASTO</t>
  </si>
  <si>
    <t>Ro-ro/ro-pax laev (2000+ LM)</t>
  </si>
  <si>
    <t>Külmutatud kauba laev (kõik DWT-d)</t>
  </si>
  <si>
    <t>M3 - TÖÖREISIDE ERIHEITETEGURID</t>
  </si>
  <si>
    <t>M3 - TÖÖREISID</t>
  </si>
  <si>
    <t>Arvutatud keskmise kütusetarbimise ja HVO eriheiteteguri (UK GHG Conversion Factors 2021) põhjal</t>
  </si>
  <si>
    <t>Arvutatud keskmise kütusetarbimise ja FAME eriheiteteguri (KHG inventuuri aruanne 2022) põhjal</t>
  </si>
  <si>
    <t>Teadmata</t>
  </si>
  <si>
    <t>Arvutatud Tallinna linnaliinibusside (diisel- ja gaasibusside keskmine) andmete põhjal (AS TLT)</t>
  </si>
  <si>
    <t>M3 - TÖÖLE-KOJU LIIKUMISTE ERIHEITETEGURID</t>
  </si>
  <si>
    <t>M3 - TÖÖLE-KOJU LIIKUMINE</t>
  </si>
  <si>
    <t>Arvutatud AS Elroni andmete põhjal</t>
  </si>
  <si>
    <t>Tramm</t>
  </si>
  <si>
    <t>Troll</t>
  </si>
  <si>
    <t>Elektrijalgratta tootja ja elektritõukejalgratta tootja andmed (keskmine elektritarbimine: 0,0124 kWh/km)</t>
  </si>
  <si>
    <t>Jalgsi liikumine</t>
  </si>
  <si>
    <t>M3 - JÄÄTMED</t>
  </si>
  <si>
    <t>Transpordi/kogumise eriheitetegur</t>
  </si>
  <si>
    <t>Eriheitetegur kokku</t>
  </si>
  <si>
    <t>TalTech, SEI Tallinn 2019</t>
  </si>
  <si>
    <t xml:space="preserve">Arvutatud olelusringi hindamise mudeliga WAMPS (sisaldab nii segaolmejäätmete kogumise kui ladestamisega seotud KHG heiteid) </t>
  </si>
  <si>
    <t>Ei võeta arvesse</t>
  </si>
  <si>
    <t>VIITED</t>
  </si>
  <si>
    <t>GHG Emission Calculation Tool</t>
  </si>
  <si>
    <t>CoM Default Emission Factors for the Member States of the European Union Dataset Version 2017 (IPCC 2006 andmetel)</t>
  </si>
  <si>
    <t>COPERT</t>
  </si>
  <si>
    <t>The Industry Standard Emissions Calculator</t>
  </si>
  <si>
    <t>Ministry of the Environment. Greenhouse Gas Emissions in Estonia 1990-2020. National Inventory Report. Estonia, 2022</t>
  </si>
  <si>
    <t>VTT LIPASTO calculation system for transport exhaust emissions and energy use in Finland</t>
  </si>
  <si>
    <t>UK Government GHG Conversion Factors for Company Reporting 2021. Department for Business, Energy and Industrial Strategy, June 2021</t>
  </si>
  <si>
    <t>M1 - Soojusenergia tootmine</t>
  </si>
  <si>
    <t>M1 - Oma sõidukite kütused</t>
  </si>
  <si>
    <t>M1 - Hajusheitmed</t>
  </si>
  <si>
    <t xml:space="preserve">M2 - Ostetud soojusenergia </t>
  </si>
  <si>
    <t>M3 - Tööreisid</t>
  </si>
  <si>
    <t>M3 - Tööle-koju liikumine</t>
  </si>
  <si>
    <t>M3 - Finantsinvesteeringud</t>
  </si>
  <si>
    <t>Eriheitetegur:</t>
  </si>
  <si>
    <t>kWh</t>
  </si>
  <si>
    <t>IPCC Assessment</t>
  </si>
  <si>
    <t>Boundary</t>
  </si>
  <si>
    <t>Scope</t>
  </si>
  <si>
    <t>Mobile EF</t>
  </si>
  <si>
    <t>Units</t>
  </si>
  <si>
    <t>Select</t>
  </si>
  <si>
    <t>Activity Type</t>
  </si>
  <si>
    <t>Select the relevant calculation method</t>
  </si>
  <si>
    <t>Stationary Combustion</t>
  </si>
  <si>
    <t>Heating Value</t>
  </si>
  <si>
    <t>S3 - Type of Activity Data</t>
  </si>
  <si>
    <t>Mode of Transport</t>
  </si>
  <si>
    <t>E-consumption units</t>
  </si>
  <si>
    <t>Fuel consumption units</t>
  </si>
  <si>
    <t>Fuel Source</t>
  </si>
  <si>
    <t>S1 - Type of Activity Data</t>
  </si>
  <si>
    <t>Scope 3 - Category</t>
  </si>
  <si>
    <t>Purchased Energy EF</t>
  </si>
  <si>
    <t>Energy Units</t>
  </si>
  <si>
    <t>S3 units</t>
  </si>
  <si>
    <t>Custom EF numerator</t>
  </si>
  <si>
    <t>2007 IPCC Fourth Assessment</t>
  </si>
  <si>
    <t>Facility</t>
  </si>
  <si>
    <t>Scope 1</t>
  </si>
  <si>
    <t>US EPA</t>
  </si>
  <si>
    <t>TJ</t>
  </si>
  <si>
    <t>Yes</t>
  </si>
  <si>
    <t>Sales Approach (Product)</t>
  </si>
  <si>
    <t>Anthracite Coal</t>
  </si>
  <si>
    <t>Higher</t>
  </si>
  <si>
    <t>Distance</t>
  </si>
  <si>
    <t>Car</t>
  </si>
  <si>
    <t>kW</t>
  </si>
  <si>
    <t>gal (US)</t>
  </si>
  <si>
    <t>Motor Gasoline</t>
  </si>
  <si>
    <t>Fuel Use</t>
  </si>
  <si>
    <t>Upstream T&amp;D</t>
  </si>
  <si>
    <t>T_D</t>
  </si>
  <si>
    <t>Purchased Electricity - Location Based</t>
  </si>
  <si>
    <t>US Gallon</t>
  </si>
  <si>
    <t>Btu</t>
  </si>
  <si>
    <t>nautical mile</t>
  </si>
  <si>
    <t>g</t>
  </si>
  <si>
    <t>AKGD</t>
  </si>
  <si>
    <t>2014 IPCC Fifth Assessment</t>
  </si>
  <si>
    <t>Country</t>
  </si>
  <si>
    <t>Scope 2</t>
  </si>
  <si>
    <t>UK DEFRA</t>
  </si>
  <si>
    <t>GJ</t>
  </si>
  <si>
    <t>No</t>
  </si>
  <si>
    <t>Mobile Combustion</t>
  </si>
  <si>
    <t>Sales Approach (User)</t>
  </si>
  <si>
    <t>Bituminous Coal</t>
  </si>
  <si>
    <t>Lower</t>
  </si>
  <si>
    <t>Passenger Distance</t>
  </si>
  <si>
    <t>Air</t>
  </si>
  <si>
    <t>MW</t>
  </si>
  <si>
    <t>L</t>
  </si>
  <si>
    <t>Diesel Fuel</t>
  </si>
  <si>
    <t>Distance Activity</t>
  </si>
  <si>
    <t>Business Travel</t>
  </si>
  <si>
    <t>EC_BT</t>
  </si>
  <si>
    <t>Purchased Electricity - Market Based</t>
  </si>
  <si>
    <t>Litre</t>
  </si>
  <si>
    <t>mmBtu</t>
  </si>
  <si>
    <t>mile</t>
  </si>
  <si>
    <t>AKMS</t>
  </si>
  <si>
    <t>Custom Settings</t>
  </si>
  <si>
    <t>Company</t>
  </si>
  <si>
    <t>Scope 3</t>
  </si>
  <si>
    <t>Custom emission factor</t>
  </si>
  <si>
    <t>MJ</t>
  </si>
  <si>
    <t>Refrigerants</t>
  </si>
  <si>
    <t>Lifecycle Stage Approach</t>
  </si>
  <si>
    <t>Sub-bituminous Coal</t>
  </si>
  <si>
    <t>Vehicle Distance</t>
  </si>
  <si>
    <t>Bus</t>
  </si>
  <si>
    <t>GW</t>
  </si>
  <si>
    <t>bbl</t>
  </si>
  <si>
    <t>Biodiesel (100%)</t>
  </si>
  <si>
    <t>Employee Commute</t>
  </si>
  <si>
    <t>Heat/Steam</t>
  </si>
  <si>
    <t>brl</t>
  </si>
  <si>
    <t>Barrel</t>
  </si>
  <si>
    <t>therm</t>
  </si>
  <si>
    <t>km</t>
  </si>
  <si>
    <t>tonne</t>
  </si>
  <si>
    <t>AZNM</t>
  </si>
  <si>
    <t>Lignite Coal</t>
  </si>
  <si>
    <t>Weight Distance</t>
  </si>
  <si>
    <t>Rail</t>
  </si>
  <si>
    <t>scf</t>
  </si>
  <si>
    <t>Compressed Natural Gas</t>
  </si>
  <si>
    <t>Standard Cubic Foot</t>
  </si>
  <si>
    <t>passenger-mile</t>
  </si>
  <si>
    <t>CAMX</t>
  </si>
  <si>
    <t>MWh</t>
  </si>
  <si>
    <t>Mixed (Commercial Sector)</t>
  </si>
  <si>
    <t>Ferry</t>
  </si>
  <si>
    <t>ccf</t>
  </si>
  <si>
    <t>Ethanol (100%)</t>
  </si>
  <si>
    <t>ft^3</t>
  </si>
  <si>
    <t>Cubic Foot</t>
  </si>
  <si>
    <t>passenger-km</t>
  </si>
  <si>
    <t>ERCT</t>
  </si>
  <si>
    <t>Heat</t>
  </si>
  <si>
    <t>Mixed (Electric Power Sector)</t>
  </si>
  <si>
    <t>m3</t>
  </si>
  <si>
    <t>Jet Fuel</t>
  </si>
  <si>
    <t>EC_BT_US EPA_Car</t>
  </si>
  <si>
    <t>Passenger Car A</t>
  </si>
  <si>
    <t>Hundred Cubic Feet</t>
  </si>
  <si>
    <t>vehicle-mile</t>
  </si>
  <si>
    <t>FRCC</t>
  </si>
  <si>
    <t>Transportation</t>
  </si>
  <si>
    <t>Mixed (Industrial Coking)</t>
  </si>
  <si>
    <t>Aviation Gasoline</t>
  </si>
  <si>
    <t>Light-Duty Truck B</t>
  </si>
  <si>
    <t>Residual Mix</t>
  </si>
  <si>
    <t>yd^3</t>
  </si>
  <si>
    <t>Cubic Yard</t>
  </si>
  <si>
    <t>vehicle-km</t>
  </si>
  <si>
    <t>HIMS</t>
  </si>
  <si>
    <t>Therm</t>
  </si>
  <si>
    <t>Mixed (Industrial Sector)</t>
  </si>
  <si>
    <t>Motorcycle</t>
  </si>
  <si>
    <t>Grid Average/Location Based</t>
  </si>
  <si>
    <t>Cubic Meter</t>
  </si>
  <si>
    <t>ton-mile</t>
  </si>
  <si>
    <t>HIOA</t>
  </si>
  <si>
    <t>metric tonne</t>
  </si>
  <si>
    <t>Coal Coke</t>
  </si>
  <si>
    <t>EC_BT_US EPA_Rail</t>
  </si>
  <si>
    <t>Intercity Rail (i.e. Amtrak) C</t>
  </si>
  <si>
    <t>cm^3</t>
  </si>
  <si>
    <t>Cubic Centimeter</t>
  </si>
  <si>
    <t>tonne-km</t>
  </si>
  <si>
    <t>MROE</t>
  </si>
  <si>
    <t>pound (lb)</t>
  </si>
  <si>
    <t>Municipal Solid Waste</t>
  </si>
  <si>
    <t>Commuter Rail D</t>
  </si>
  <si>
    <t>Metric Ton</t>
  </si>
  <si>
    <t>MROW</t>
  </si>
  <si>
    <t>Petroleum Coke (Solid)</t>
  </si>
  <si>
    <t>Transit Rail (i.e. Subway, Tram) E</t>
  </si>
  <si>
    <t>Kilogram</t>
  </si>
  <si>
    <t>NEWE</t>
  </si>
  <si>
    <t>gallon</t>
  </si>
  <si>
    <t>Plastics</t>
  </si>
  <si>
    <t>Motor_Gasoline</t>
  </si>
  <si>
    <t>EC_BT_US EPA_Bus</t>
  </si>
  <si>
    <t>lb</t>
  </si>
  <si>
    <t>Pound</t>
  </si>
  <si>
    <t>NWPP</t>
  </si>
  <si>
    <t>litres</t>
  </si>
  <si>
    <t>Tires</t>
  </si>
  <si>
    <t>Diesel_Fuel</t>
  </si>
  <si>
    <t>EC_BT_US EPA_Air</t>
  </si>
  <si>
    <t xml:space="preserve">Air Travel - Short Haul (&lt; 300 miles) </t>
  </si>
  <si>
    <t>ton</t>
  </si>
  <si>
    <t>Short Ton</t>
  </si>
  <si>
    <t>NYCW</t>
  </si>
  <si>
    <t>foot3</t>
  </si>
  <si>
    <t>Agricultural Byproducts</t>
  </si>
  <si>
    <t>Biodiesel</t>
  </si>
  <si>
    <t xml:space="preserve">Air Travel - Medium Haul (&gt;= 300 miles, 
&lt; 2300 miles) </t>
  </si>
  <si>
    <t>LT</t>
  </si>
  <si>
    <t>Long Ton</t>
  </si>
  <si>
    <t>NYLI</t>
  </si>
  <si>
    <t>meter3</t>
  </si>
  <si>
    <t>Peat</t>
  </si>
  <si>
    <t xml:space="preserve">Air Travel - Long Haul (&gt;= 2300 miles) </t>
  </si>
  <si>
    <t>Gram</t>
  </si>
  <si>
    <t>NYUP</t>
  </si>
  <si>
    <t>barrel</t>
  </si>
  <si>
    <t>Solid Byproducts</t>
  </si>
  <si>
    <t>Ethanol</t>
  </si>
  <si>
    <t>mi</t>
  </si>
  <si>
    <t>Mile</t>
  </si>
  <si>
    <t>RFCE</t>
  </si>
  <si>
    <t>Wood and Wood Residuals</t>
  </si>
  <si>
    <t>Jet_Fuel</t>
  </si>
  <si>
    <t>EC_BT_UK DEFRA_Car</t>
  </si>
  <si>
    <t>Average Car - Diesel</t>
  </si>
  <si>
    <t>nm</t>
  </si>
  <si>
    <t>Nautical Mile</t>
  </si>
  <si>
    <t>RFCM</t>
  </si>
  <si>
    <t>Natural Gas</t>
  </si>
  <si>
    <t>Aviation_Gasoline</t>
  </si>
  <si>
    <t>Average Car - Petrol</t>
  </si>
  <si>
    <t>m</t>
  </si>
  <si>
    <t>Meter</t>
  </si>
  <si>
    <t>RFCW</t>
  </si>
  <si>
    <t>Blast Furnace Gas</t>
  </si>
  <si>
    <t>Average Car - Hybrid</t>
  </si>
  <si>
    <t>Kilometer</t>
  </si>
  <si>
    <t>RMPA</t>
  </si>
  <si>
    <t>Coke Oven Gas</t>
  </si>
  <si>
    <t>Average Car - CNG</t>
  </si>
  <si>
    <t>Kilowatt-hour</t>
  </si>
  <si>
    <t>SPNO</t>
  </si>
  <si>
    <t>Fuel Gas</t>
  </si>
  <si>
    <t>Gasoline Passenger Cars</t>
  </si>
  <si>
    <t>Average Car - LPG</t>
  </si>
  <si>
    <t>Megawatt-hour</t>
  </si>
  <si>
    <t>SPSO</t>
  </si>
  <si>
    <t>Propane Gas</t>
  </si>
  <si>
    <t>Gasoline Light-duty Trucks (Vans, Pickup Trucks, SUVs)</t>
  </si>
  <si>
    <t>Average Car - Plug-in Hybrid Electric Vehicle</t>
  </si>
  <si>
    <t>GWh</t>
  </si>
  <si>
    <t>Gigawatt-hour</t>
  </si>
  <si>
    <t>SRMV</t>
  </si>
  <si>
    <t>Landfill Gas</t>
  </si>
  <si>
    <t>Gasoline Heavy-duty Vehicles</t>
  </si>
  <si>
    <t>Average Car - Battery Electric Vehicle</t>
  </si>
  <si>
    <t>SRMW</t>
  </si>
  <si>
    <t>Other Biomass Gases</t>
  </si>
  <si>
    <t>Hybrid (Gasoline) Passenger Cars</t>
  </si>
  <si>
    <t>Average Car - Unknown</t>
  </si>
  <si>
    <t>BTU</t>
  </si>
  <si>
    <t>SRSO</t>
  </si>
  <si>
    <t>Asphalt and Road Oil</t>
  </si>
  <si>
    <t>Gasoline Agricultural Equipment</t>
  </si>
  <si>
    <t>Motorbike</t>
  </si>
  <si>
    <t>MMBTU</t>
  </si>
  <si>
    <t>SRTV</t>
  </si>
  <si>
    <t>Gasoline Ships and Boats</t>
  </si>
  <si>
    <t>Taxi - regular</t>
  </si>
  <si>
    <t>Megajoule</t>
  </si>
  <si>
    <t>SRVC</t>
  </si>
  <si>
    <t>Butane</t>
  </si>
  <si>
    <t>Gasoline Motorcycles</t>
  </si>
  <si>
    <t>EC_BT_UK DEFRA_Bus</t>
  </si>
  <si>
    <t>Local Bus</t>
  </si>
  <si>
    <t>Gigajoule</t>
  </si>
  <si>
    <t>U.S.</t>
  </si>
  <si>
    <t>Butylene</t>
  </si>
  <si>
    <t>Other Gasoline Non-Road Vehicles</t>
  </si>
  <si>
    <t>EC_BT_UK DEFRA_Rail</t>
  </si>
  <si>
    <t>National rail</t>
  </si>
  <si>
    <t>t-mi</t>
  </si>
  <si>
    <t>Tonne Mile</t>
  </si>
  <si>
    <t>Crude Oil</t>
  </si>
  <si>
    <t>International rail</t>
  </si>
  <si>
    <t>ton-mi</t>
  </si>
  <si>
    <t>Short Ton Mile</t>
  </si>
  <si>
    <t>New South Wales and ACT</t>
  </si>
  <si>
    <t>Distillate Fuel Oil No. 1</t>
  </si>
  <si>
    <t>Diesel Passenger Cars</t>
  </si>
  <si>
    <t>Light rail and tram</t>
  </si>
  <si>
    <t>ton-km</t>
  </si>
  <si>
    <t>Short Ton Kilometer</t>
  </si>
  <si>
    <t>Victoria</t>
  </si>
  <si>
    <t>Distillate Fuel Oil No. 2</t>
  </si>
  <si>
    <t>Diesel Light-duty Trucks</t>
  </si>
  <si>
    <t>EC_BT_UK DEFRA_Air</t>
  </si>
  <si>
    <t>Air Travel - Domestic, to/from UK - Average passenger</t>
  </si>
  <si>
    <t>t-km</t>
  </si>
  <si>
    <t>Tonne Kilometer</t>
  </si>
  <si>
    <t>Queensland</t>
  </si>
  <si>
    <t>Distillate Fuel Oil No. 4</t>
  </si>
  <si>
    <t>Diesel Medium- and Heavy-duty Vehicles</t>
  </si>
  <si>
    <t>Air Travel - Short-haul, to/from UK - Average passenger</t>
  </si>
  <si>
    <t>p-mi</t>
  </si>
  <si>
    <t>Passenger Mile</t>
  </si>
  <si>
    <t>South Australia</t>
  </si>
  <si>
    <t>Ethane</t>
  </si>
  <si>
    <t>Diesel Agricultural Equipment</t>
  </si>
  <si>
    <t>Air Travel - Short-haul, to/from UK - Economy class</t>
  </si>
  <si>
    <t>MPG</t>
  </si>
  <si>
    <t>Miles per Gallon</t>
  </si>
  <si>
    <t>SWIS in Western Australia</t>
  </si>
  <si>
    <t>Ethylene</t>
  </si>
  <si>
    <t>Diesel Ships and Boats</t>
  </si>
  <si>
    <t>Air Travel - Short-haul, to/from UK - Business class</t>
  </si>
  <si>
    <t>L/km</t>
  </si>
  <si>
    <t>Liters per Kilometer</t>
  </si>
  <si>
    <t>Tasmania</t>
  </si>
  <si>
    <t>Heavy Gas Oils</t>
  </si>
  <si>
    <t>Air Travel - Long-haul, to/from UK - Average passenger</t>
  </si>
  <si>
    <t>sq ft</t>
  </si>
  <si>
    <t>Square Foot</t>
  </si>
  <si>
    <t>Northern Territory</t>
  </si>
  <si>
    <t>Isobutane</t>
  </si>
  <si>
    <t>Other Diesel Non-Road Vehicles</t>
  </si>
  <si>
    <t>Air Travel - Long-haul, to/from UK - Economy class</t>
  </si>
  <si>
    <t>acre</t>
  </si>
  <si>
    <t>Acre</t>
  </si>
  <si>
    <t>Isobutylene</t>
  </si>
  <si>
    <t>Air Travel - Long-haul, to/from UK - Premium economy class</t>
  </si>
  <si>
    <t>ha</t>
  </si>
  <si>
    <t>Hectare</t>
  </si>
  <si>
    <t>Newfoundland and Labrador</t>
  </si>
  <si>
    <t>Kerosene</t>
  </si>
  <si>
    <t>Biodiesel Passenger Cars</t>
  </si>
  <si>
    <t>Air Travel - Long-haul, to/from UK - Business class</t>
  </si>
  <si>
    <t>Prince Edward Island</t>
  </si>
  <si>
    <t>Kerosene-Type Jet Fuel</t>
  </si>
  <si>
    <t>Biodiesel Light-duty Vehicles</t>
  </si>
  <si>
    <t>Air Travel - Long-haul, to/from UK - First class</t>
  </si>
  <si>
    <t>Nova Scotia</t>
  </si>
  <si>
    <t>Liquefied Petroleum Gases (LPG)</t>
  </si>
  <si>
    <t>Biodiesel Medium- and Heavy-duty Vehicles</t>
  </si>
  <si>
    <t>Air Travel - International, to/from non-UK - Average passenger</t>
  </si>
  <si>
    <t>New Brunswick</t>
  </si>
  <si>
    <t>Lubricants</t>
  </si>
  <si>
    <t>Air Travel - International, to/from non-UK - Economy class</t>
  </si>
  <si>
    <t>Quebec</t>
  </si>
  <si>
    <t>Air Travel - International, to/from non-UK - Premium economy class</t>
  </si>
  <si>
    <t>Ontario</t>
  </si>
  <si>
    <t>Naphtha (&lt;401 deg F)</t>
  </si>
  <si>
    <t>CNG Light-duty Vehicles</t>
  </si>
  <si>
    <t>Air Travel - International, to/from non-UK - Business class</t>
  </si>
  <si>
    <t>Manitoba</t>
  </si>
  <si>
    <t>Natural Gasoline</t>
  </si>
  <si>
    <t>CNG Medium- and Heavy-duty Vehicles</t>
  </si>
  <si>
    <t>Air Travel - International, to/from non-UK - First class</t>
  </si>
  <si>
    <t>Saskatchewan</t>
  </si>
  <si>
    <t>Other Oil (&gt;401 deg F)</t>
  </si>
  <si>
    <t>EC_BT_UK DEFRA_Ferry</t>
  </si>
  <si>
    <t>Ferry - Average (all passenger)</t>
  </si>
  <si>
    <t>Alberta</t>
  </si>
  <si>
    <t>Pentanes Plus</t>
  </si>
  <si>
    <t>Ethanol Light-duty Vehicles</t>
  </si>
  <si>
    <t>British Columbia</t>
  </si>
  <si>
    <t>Petrochemical Feedstocks</t>
  </si>
  <si>
    <t>Ethanol Medium- and Heavy-duty Vehicles</t>
  </si>
  <si>
    <t>T_D_US EPA_Car</t>
  </si>
  <si>
    <t>Medium- and Heavy-Duty Truck</t>
  </si>
  <si>
    <t>Yukon</t>
  </si>
  <si>
    <t>Petroleum Coke</t>
  </si>
  <si>
    <t>Passenger Car A1</t>
  </si>
  <si>
    <t>Northwest Territories and Nunavut</t>
  </si>
  <si>
    <t>Propane</t>
  </si>
  <si>
    <t>Jet Fuel Aircraft</t>
  </si>
  <si>
    <t>Light-Duty Truck B1</t>
  </si>
  <si>
    <t>Propylene</t>
  </si>
  <si>
    <t>North China Grid</t>
  </si>
  <si>
    <t>Residual Fuel Oil No. 5</t>
  </si>
  <si>
    <t>Aviation Gasoline Aircraft</t>
  </si>
  <si>
    <t>T_D_US EPA_Rail</t>
  </si>
  <si>
    <t>China Northeast Grid</t>
  </si>
  <si>
    <t>Residual Fuel Oil No. 6</t>
  </si>
  <si>
    <t>T_D_US EPA_Ferry</t>
  </si>
  <si>
    <t>Waterborne Craft</t>
  </si>
  <si>
    <t>East China Grid</t>
  </si>
  <si>
    <t>Special Naphtha</t>
  </si>
  <si>
    <t>T_D_US EPA_Air</t>
  </si>
  <si>
    <t>Aircraft</t>
  </si>
  <si>
    <t>Central China Grid</t>
  </si>
  <si>
    <t>Unfinished Oils</t>
  </si>
  <si>
    <t>China Northwest Grid</t>
  </si>
  <si>
    <t>Used Oil</t>
  </si>
  <si>
    <t>China Southern Grid</t>
  </si>
  <si>
    <t>T_D_UK DEFRA_Car</t>
  </si>
  <si>
    <t>Vans - Average (up to 3.5 tonnes) - Diesel</t>
  </si>
  <si>
    <t xml:space="preserve">Hainan Province China Power Grid </t>
  </si>
  <si>
    <t>Vans - Average (up to 3.5 tonnes) - Petrol</t>
  </si>
  <si>
    <t>Rendered Animal Fat</t>
  </si>
  <si>
    <t>Vans - Average (up to 3.5 tonnes) - CNG</t>
  </si>
  <si>
    <t>Austria</t>
  </si>
  <si>
    <t>Vegetable Oil</t>
  </si>
  <si>
    <t>Vans - Average (up to 3.5 tonnes) - LPG</t>
  </si>
  <si>
    <t>Belgium</t>
  </si>
  <si>
    <t>Vans - Average (up to 3.5 tonnes) - Unknown</t>
  </si>
  <si>
    <t>Bulgaria</t>
  </si>
  <si>
    <t>Vans - Average (up to 3.5 tonnes) - Battery Electric Vehicle</t>
  </si>
  <si>
    <t>Croatia</t>
  </si>
  <si>
    <t>HGV (all diesel) - tonne.km</t>
  </si>
  <si>
    <t>Cyprus</t>
  </si>
  <si>
    <t>HGV (all diesel) - km</t>
  </si>
  <si>
    <t>Czech Republic</t>
  </si>
  <si>
    <t>HGV (all diesel) - miles</t>
  </si>
  <si>
    <t>Denmark</t>
  </si>
  <si>
    <t>HGV refrigerated (all diesel) - tonne.km</t>
  </si>
  <si>
    <t>Estonia</t>
  </si>
  <si>
    <t>HGV refrigerated (all diesel) - km</t>
  </si>
  <si>
    <t>Finland</t>
  </si>
  <si>
    <t>HGV refrigerated (all diesel) - miles</t>
  </si>
  <si>
    <t>France</t>
  </si>
  <si>
    <t>T_D_UK DEFRA_Air</t>
  </si>
  <si>
    <t>Freight flights - Domestic, to/from UK</t>
  </si>
  <si>
    <t>Germany</t>
  </si>
  <si>
    <t>Freight flights - Short-haul, to/from UK</t>
  </si>
  <si>
    <t>United Kingdom</t>
  </si>
  <si>
    <t>Freight flights - Long-haul, to/from UK</t>
  </si>
  <si>
    <t>Greece</t>
  </si>
  <si>
    <t>Freight flights - International, to/from non-UK</t>
  </si>
  <si>
    <t>Hungary</t>
  </si>
  <si>
    <t>T_D_UK DEFRA_Rail</t>
  </si>
  <si>
    <t>Rail - Freight train</t>
  </si>
  <si>
    <t>Iceland</t>
  </si>
  <si>
    <t>T_D_UK DEFRA_Ferry</t>
  </si>
  <si>
    <t>Sea Tanker - Crude Tanker - Average</t>
  </si>
  <si>
    <t>Ireland</t>
  </si>
  <si>
    <t>Sea Tanker - Products Tanker - Average</t>
  </si>
  <si>
    <t>Italy</t>
  </si>
  <si>
    <t>Sea Tanker - Chemical Tanker - Average</t>
  </si>
  <si>
    <t>Latvia</t>
  </si>
  <si>
    <t>Sea Tanker - LNG Tanker - Average</t>
  </si>
  <si>
    <t>Lithuania</t>
  </si>
  <si>
    <t>Sea Tanker - LPG Tanker - Average</t>
  </si>
  <si>
    <t>Luxembourg</t>
  </si>
  <si>
    <t>Cargo Ship - Bulk Carrier - Average</t>
  </si>
  <si>
    <t>Malta</t>
  </si>
  <si>
    <t>Cargo Ship - General Cargo - Average</t>
  </si>
  <si>
    <t>Netherlands</t>
  </si>
  <si>
    <t>Cargo Ship - Container Ship - Average</t>
  </si>
  <si>
    <t>Norway</t>
  </si>
  <si>
    <t>Cargo Ship - Vehicle Transport - Average</t>
  </si>
  <si>
    <t>Poland</t>
  </si>
  <si>
    <t>Cargo Ship - RoRo-Ferry - Average</t>
  </si>
  <si>
    <t>Portugal</t>
  </si>
  <si>
    <t>Cargo Ship - Large RoPax Ferry - Average</t>
  </si>
  <si>
    <t>Romania</t>
  </si>
  <si>
    <t>Cargo Ship - Refrigerated Cargo -  All dwt</t>
  </si>
  <si>
    <t>Slovakia</t>
  </si>
  <si>
    <t>Slovenia</t>
  </si>
  <si>
    <t>Spain</t>
  </si>
  <si>
    <t>Sweden</t>
  </si>
  <si>
    <t>EC_BT_UK DEFRA_Air_RF</t>
  </si>
  <si>
    <t>Air Travel - Domestic, to/from UK - Average passenger_RF</t>
  </si>
  <si>
    <t>Switzerland</t>
  </si>
  <si>
    <t>Air Travel - Short-haul, to/from UK - Average passenger_RF</t>
  </si>
  <si>
    <t>Air Travel - Short-haul, to/from UK - Economy class_RF</t>
  </si>
  <si>
    <t>Air Travel - Short-haul, to/from UK - Business class_RF</t>
  </si>
  <si>
    <t>Air Travel - Long-haul, to/from UK - Average passenger_RF</t>
  </si>
  <si>
    <t>Air Travel - Long-haul, to/from UK - Economy class_RF</t>
  </si>
  <si>
    <t>Air Travel - Long-haul, to/from UK - Premium economy class_RF</t>
  </si>
  <si>
    <t>Air Travel - Long-haul, to/from UK - Business class_RF</t>
  </si>
  <si>
    <t>Air Travel - Long-haul, to/from UK - First class_RF</t>
  </si>
  <si>
    <t>Air Travel - International, to/from non-UK - Average passenger_RF</t>
  </si>
  <si>
    <t>Air Travel - International, to/from non-UK - Economy class_RF</t>
  </si>
  <si>
    <t>Air Travel - International, to/from non-UK - Premium economy class_RF</t>
  </si>
  <si>
    <t>Air Travel - International, to/from non-UK - Business class_RF</t>
  </si>
  <si>
    <t>Air Travel - International, to/from non-UK - First class_RF</t>
  </si>
  <si>
    <t>T_D_UK DEFRA_Air_RF</t>
  </si>
  <si>
    <t>Freight flights - Domestic, to/from UK_RF</t>
  </si>
  <si>
    <t>Freight flights - Short-haul, to/from UK_RF</t>
  </si>
  <si>
    <t>Freight flights - Long-haul, to/from UK_RF</t>
  </si>
  <si>
    <t>Freight flights - International, to/from non-UK_RF</t>
  </si>
  <si>
    <t>Halon-1301</t>
  </si>
  <si>
    <t>Halon-1211</t>
  </si>
  <si>
    <t>Halon-2402</t>
  </si>
  <si>
    <t>Carbon tetrachloride</t>
  </si>
  <si>
    <t>Methyl bromide</t>
  </si>
  <si>
    <t>Methyl chloroform</t>
  </si>
  <si>
    <t>Carbon dioxide  </t>
  </si>
  <si>
    <t>Methane  </t>
  </si>
  <si>
    <t>Nitrous oxide  </t>
  </si>
  <si>
    <t>Nitrogen trifluoride</t>
  </si>
  <si>
    <t>Sulfur hexafluoride</t>
  </si>
  <si>
    <t>.</t>
  </si>
  <si>
    <t>Common Name</t>
  </si>
  <si>
    <t>Formula</t>
  </si>
  <si>
    <t>AR5</t>
  </si>
  <si>
    <t>[@EF[Reference KG CO2]]/IF([@[Reference Unit in F7]]=[@[Standardized Unit of fuel]],1,VLOOKUP([@[Reference Unit in F7]]&amp;"_to_"&amp;[@[Standardized Unit]],REF_UnitConversions,REF_UnitConversions_Col,FALSE))</t>
  </si>
  <si>
    <t>Carbon dioxide</t>
  </si>
  <si>
    <t>Methane</t>
  </si>
  <si>
    <t>Nitrous oxide</t>
  </si>
  <si>
    <t>Unit</t>
  </si>
  <si>
    <t>From Unit</t>
  </si>
  <si>
    <t>1 016.04691</t>
  </si>
  <si>
    <t>2. Standard unit conversions - Mass, Volume, Energy, Distance, Other</t>
  </si>
  <si>
    <t>Unit Conversions</t>
  </si>
  <si>
    <t>Mass</t>
  </si>
  <si>
    <t>Lookup name</t>
  </si>
  <si>
    <t xml:space="preserve">Convert From </t>
  </si>
  <si>
    <t>Convert To</t>
  </si>
  <si>
    <t>Multiply By</t>
  </si>
  <si>
    <t>lb_to_g</t>
  </si>
  <si>
    <t>gram per pound</t>
  </si>
  <si>
    <t>lb_to_kg</t>
  </si>
  <si>
    <t>kilogram per pound</t>
  </si>
  <si>
    <t>lb_to_metric ton</t>
  </si>
  <si>
    <t>metric ton</t>
  </si>
  <si>
    <t>metric ton / pound</t>
  </si>
  <si>
    <t>kg_to_lb</t>
  </si>
  <si>
    <t>pound per kilogram</t>
  </si>
  <si>
    <t>kg_to_metric ton</t>
  </si>
  <si>
    <t>kilogram per metric ton</t>
  </si>
  <si>
    <t>short ton_to_lb</t>
  </si>
  <si>
    <t>short ton</t>
  </si>
  <si>
    <t>lb / short ton</t>
  </si>
  <si>
    <t>short ton_to_kg</t>
  </si>
  <si>
    <t>kg / short ton</t>
  </si>
  <si>
    <t>metric ton_to_lb</t>
  </si>
  <si>
    <t>lb / metric ton</t>
  </si>
  <si>
    <t>metric ton_to_kg</t>
  </si>
  <si>
    <t>kg / metric ton</t>
  </si>
  <si>
    <t>metric ton_to_short ton</t>
  </si>
  <si>
    <t>short ton / metric ton</t>
  </si>
  <si>
    <t>Volume</t>
  </si>
  <si>
    <t>scf_to_gal (US)</t>
  </si>
  <si>
    <t>US gallon per standard cubic foot</t>
  </si>
  <si>
    <t>scf_to_bbl</t>
  </si>
  <si>
    <t>barrel per standard cubic foot</t>
  </si>
  <si>
    <t>scf_to_L</t>
  </si>
  <si>
    <t>liter per standard cubic foot</t>
  </si>
  <si>
    <t>scf_to_m3</t>
  </si>
  <si>
    <t>cubic meter per standard cubic foot</t>
  </si>
  <si>
    <t>gal (US)_to_bbl</t>
  </si>
  <si>
    <t>barrel per US gallon</t>
  </si>
  <si>
    <t>gal (US)_to_L</t>
  </si>
  <si>
    <t>liter per US gallon</t>
  </si>
  <si>
    <t>gal (US)_to_m3</t>
  </si>
  <si>
    <t>cubic meter per US gallon</t>
  </si>
  <si>
    <t>bbl_to_gal (US)</t>
  </si>
  <si>
    <t>US gallon per barrel</t>
  </si>
  <si>
    <t>bbl_to_L</t>
  </si>
  <si>
    <t>liter per barrel</t>
  </si>
  <si>
    <t>bbl_to_m3</t>
  </si>
  <si>
    <t>cubic meter per barrel</t>
  </si>
  <si>
    <t>L_to_m3</t>
  </si>
  <si>
    <t>cubic meter per liter</t>
  </si>
  <si>
    <t>L_to_gal (US)</t>
  </si>
  <si>
    <t>US gallon per liter</t>
  </si>
  <si>
    <t>m3_to_bbl</t>
  </si>
  <si>
    <t>barrel per cubic meter</t>
  </si>
  <si>
    <t>m3_to_gal (US)</t>
  </si>
  <si>
    <t>US gallon per cubic meter</t>
  </si>
  <si>
    <t>m3_to_L</t>
  </si>
  <si>
    <t>liter per cubic meter</t>
  </si>
  <si>
    <t>gal (US)_to_gal (US)</t>
  </si>
  <si>
    <t>m3_to_m3</t>
  </si>
  <si>
    <t>L_to_L</t>
  </si>
  <si>
    <t>gal (US)_to_scf</t>
  </si>
  <si>
    <t>L_to_scf</t>
  </si>
  <si>
    <t>ccf_to_scf</t>
  </si>
  <si>
    <t>m3_to_scf</t>
  </si>
  <si>
    <t>Energy</t>
  </si>
  <si>
    <t>kWh_to_Btu</t>
  </si>
  <si>
    <t>Btu / kWh</t>
  </si>
  <si>
    <t>kWh_to_KJ</t>
  </si>
  <si>
    <t>KJ</t>
  </si>
  <si>
    <t>KJ / kWh</t>
  </si>
  <si>
    <t>MJ_to_GJ</t>
  </si>
  <si>
    <t>GJ / MJ</t>
  </si>
  <si>
    <t>MJ_to_mmBtu</t>
  </si>
  <si>
    <t>mmBtu / MJ</t>
  </si>
  <si>
    <t>GJ_to_mmBtu</t>
  </si>
  <si>
    <t>mmBtu / GJ</t>
  </si>
  <si>
    <t>kWh_to_mmBtu</t>
  </si>
  <si>
    <t>mmBtu / kWh</t>
  </si>
  <si>
    <t>MWh_to_mmBtu</t>
  </si>
  <si>
    <t>mmBtu / MWh</t>
  </si>
  <si>
    <t>Btu_to_mmBtu</t>
  </si>
  <si>
    <t>mmBtu / Btu</t>
  </si>
  <si>
    <t>MJ_to_kWh</t>
  </si>
  <si>
    <t>kWh / MJ</t>
  </si>
  <si>
    <t>GJ_to_kWh</t>
  </si>
  <si>
    <t>kWh / GJ</t>
  </si>
  <si>
    <t>mmBtu_to_GJ</t>
  </si>
  <si>
    <t>GJ / mmBtu</t>
  </si>
  <si>
    <t>mmBtu_to_kWh</t>
  </si>
  <si>
    <t>kWh / mmBtu</t>
  </si>
  <si>
    <t>MWh_to_kWh</t>
  </si>
  <si>
    <t>kWh / MWh</t>
  </si>
  <si>
    <t>therm_to_Btu</t>
  </si>
  <si>
    <t>Btu / therm</t>
  </si>
  <si>
    <t>therm_to_GJ</t>
  </si>
  <si>
    <t>GJ / therm</t>
  </si>
  <si>
    <t>therm_to_kWh</t>
  </si>
  <si>
    <t>kWh / therm</t>
  </si>
  <si>
    <t>kWh_to_MWh</t>
  </si>
  <si>
    <t>MWh / kWh</t>
  </si>
  <si>
    <t>MWh_to_MWh</t>
  </si>
  <si>
    <t>MWh / MWh</t>
  </si>
  <si>
    <t>BTU_to_MWh</t>
  </si>
  <si>
    <t>MWh / BTU</t>
  </si>
  <si>
    <t>BTU_to_kWh</t>
  </si>
  <si>
    <t>kWh / BTU</t>
  </si>
  <si>
    <t>MMBTU_to_MWh</t>
  </si>
  <si>
    <t>MWh / MMBTU</t>
  </si>
  <si>
    <t>GJ_to_MWh</t>
  </si>
  <si>
    <t>MWh / GJ</t>
  </si>
  <si>
    <t>therm_to_MWh</t>
  </si>
  <si>
    <t>MWh / therm</t>
  </si>
  <si>
    <t>kWh_to_therm</t>
  </si>
  <si>
    <t>therm / kWh</t>
  </si>
  <si>
    <t>MWh_to_therm</t>
  </si>
  <si>
    <t>therm / MWh</t>
  </si>
  <si>
    <t>BTU_to_therm</t>
  </si>
  <si>
    <t>therm / BTU</t>
  </si>
  <si>
    <t>mmBtu_to_therm</t>
  </si>
  <si>
    <t>therm / mmBtu</t>
  </si>
  <si>
    <t>MJ_to_therm</t>
  </si>
  <si>
    <t>therm / MJ</t>
  </si>
  <si>
    <t>GJ_to_therm</t>
  </si>
  <si>
    <t>therm / GJ</t>
  </si>
  <si>
    <t>therm_to_therm</t>
  </si>
  <si>
    <t>therm / therm</t>
  </si>
  <si>
    <t>mmBtu_to_mmBtu</t>
  </si>
  <si>
    <t>mmBtu / mmBtu</t>
  </si>
  <si>
    <t>kWh_to_kWh</t>
  </si>
  <si>
    <t>kWh / kWh</t>
  </si>
  <si>
    <t>GJ_to_GJ</t>
  </si>
  <si>
    <t>GJ / GJ</t>
  </si>
  <si>
    <t>MJ_to_MJ</t>
  </si>
  <si>
    <t>MJ / MJ</t>
  </si>
  <si>
    <t>mmBtu_to_Btu</t>
  </si>
  <si>
    <t>Btu / mmBtu</t>
  </si>
  <si>
    <t>mile_to_km</t>
  </si>
  <si>
    <t>km / mile</t>
  </si>
  <si>
    <t>nautical mile_to_mile</t>
  </si>
  <si>
    <t>mile / nautical mile</t>
  </si>
  <si>
    <t>km_to_mile</t>
  </si>
  <si>
    <t>mile / km</t>
  </si>
  <si>
    <t>mile_to_passenger-mile</t>
  </si>
  <si>
    <t>passenger-mile / mile</t>
  </si>
  <si>
    <t>km_to_passenger-mile</t>
  </si>
  <si>
    <t>passenger-mile / km</t>
  </si>
  <si>
    <t>mile_to_vehicle-mile</t>
  </si>
  <si>
    <t>vehicle-mile / mile</t>
  </si>
  <si>
    <t>km_to_vehicle-mile</t>
  </si>
  <si>
    <t>vehicle-mile / km</t>
  </si>
  <si>
    <t>passenger-km_to_passenger-mile</t>
  </si>
  <si>
    <t>vehicle-km_to_vehicle-mile</t>
  </si>
  <si>
    <t>passenger-mile_to_passenger-km</t>
  </si>
  <si>
    <t>vehicle-km / mile</t>
  </si>
  <si>
    <t>vehicle-mile_to_vehicle-km</t>
  </si>
  <si>
    <t>passenger-mile_to_mile</t>
  </si>
  <si>
    <t>mile / passenger-mile</t>
  </si>
  <si>
    <t>passenger-km_to_mile</t>
  </si>
  <si>
    <t>mile / passenger-km</t>
  </si>
  <si>
    <t>mile_to_vehicle-km</t>
  </si>
  <si>
    <t>passenger-mile_to_km</t>
  </si>
  <si>
    <t>km / passenger-mile</t>
  </si>
  <si>
    <t>ton-mile_to_tonne-km</t>
  </si>
  <si>
    <t>tonne-km / ton-mile</t>
  </si>
  <si>
    <t>tonne-km_to_ton-mile</t>
  </si>
  <si>
    <t>gal (US)_to_ccf</t>
  </si>
  <si>
    <t>scf_to_ccf</t>
  </si>
  <si>
    <t>kWh_to_MJ</t>
  </si>
  <si>
    <t>MJ / kWh</t>
  </si>
  <si>
    <t>kWh_to_GJ</t>
  </si>
  <si>
    <t>GJ / kWh</t>
  </si>
  <si>
    <t>lbCO2e/MWh_to_kgCO2e/kWh</t>
  </si>
  <si>
    <t>lbCO2e/MWh</t>
  </si>
  <si>
    <t>kgCO2e/kWh</t>
  </si>
  <si>
    <t>mmBtu_to_MJ</t>
  </si>
  <si>
    <t>MJ / mmBtu</t>
  </si>
  <si>
    <t>therm_to_mmBtu</t>
  </si>
  <si>
    <t>mmBtu / therm</t>
  </si>
  <si>
    <t>passenger-mile_to_vehicle-mile</t>
  </si>
  <si>
    <t>vehicle-mile / passenger-mile</t>
  </si>
  <si>
    <t>vehicle-mile_to_passenger-mile</t>
  </si>
  <si>
    <t>passenger-mile / vehicle-mile</t>
  </si>
  <si>
    <t>passenger-km_to_vehicle-km</t>
  </si>
  <si>
    <t>vehicle-km / passenger-km</t>
  </si>
  <si>
    <t>vehicle-km_to_passenger-km</t>
  </si>
  <si>
    <t>passenger-km / vehicle-km</t>
  </si>
  <si>
    <t>passenger-mile_to_vehicle-km</t>
  </si>
  <si>
    <t>vehicle-km / passenger-mile</t>
  </si>
  <si>
    <t>vehicle-mile_to_passenger-km</t>
  </si>
  <si>
    <t>passenger-km / vehicle-mile</t>
  </si>
  <si>
    <t>passenger-km_to_vehicle-mile</t>
  </si>
  <si>
    <t>vehicle-mile / passenger-km</t>
  </si>
  <si>
    <t>vehicle-km_to_passenger-mile</t>
  </si>
  <si>
    <t>passenger-mile / vehicle-km</t>
  </si>
  <si>
    <t>Table 1</t>
  </si>
  <si>
    <t xml:space="preserve">   Stationary Combustion</t>
  </si>
  <si>
    <t>Table 2</t>
  </si>
  <si>
    <r>
      <t xml:space="preserve">   Mobile Combustion CO</t>
    </r>
    <r>
      <rPr>
        <b/>
        <vertAlign val="subscript"/>
        <sz val="12"/>
        <rFont val="Arial"/>
        <family val="2"/>
      </rPr>
      <t>2</t>
    </r>
  </si>
  <si>
    <t>Fuel Type</t>
  </si>
  <si>
    <t>Heat Content (HHV)</t>
  </si>
  <si>
    <r>
      <t>CO</t>
    </r>
    <r>
      <rPr>
        <b/>
        <vertAlign val="subscript"/>
        <sz val="10"/>
        <rFont val="Arial"/>
        <family val="2"/>
      </rPr>
      <t>2</t>
    </r>
    <r>
      <rPr>
        <b/>
        <sz val="10"/>
        <rFont val="Arial"/>
        <family val="2"/>
      </rPr>
      <t xml:space="preserve"> Factor</t>
    </r>
  </si>
  <si>
    <r>
      <t>CH</t>
    </r>
    <r>
      <rPr>
        <b/>
        <vertAlign val="subscript"/>
        <sz val="10"/>
        <rFont val="Arial"/>
        <family val="2"/>
      </rPr>
      <t>4</t>
    </r>
    <r>
      <rPr>
        <b/>
        <sz val="10"/>
        <rFont val="Arial"/>
        <family val="2"/>
      </rPr>
      <t xml:space="preserve"> Factor</t>
    </r>
  </si>
  <si>
    <r>
      <t>N</t>
    </r>
    <r>
      <rPr>
        <b/>
        <vertAlign val="subscript"/>
        <sz val="10"/>
        <rFont val="Arial"/>
        <family val="2"/>
      </rPr>
      <t>2</t>
    </r>
    <r>
      <rPr>
        <b/>
        <sz val="10"/>
        <rFont val="Arial"/>
        <family val="2"/>
      </rPr>
      <t>O Factor</t>
    </r>
  </si>
  <si>
    <r>
      <t>kg CO</t>
    </r>
    <r>
      <rPr>
        <b/>
        <vertAlign val="subscript"/>
        <sz val="10"/>
        <rFont val="Arial"/>
        <family val="2"/>
      </rPr>
      <t>2</t>
    </r>
    <r>
      <rPr>
        <b/>
        <sz val="10"/>
        <rFont val="Arial"/>
        <family val="2"/>
      </rPr>
      <t xml:space="preserve"> per unit</t>
    </r>
  </si>
  <si>
    <t>mmBtu per short ton</t>
  </si>
  <si>
    <r>
      <t>kg CO</t>
    </r>
    <r>
      <rPr>
        <b/>
        <vertAlign val="subscript"/>
        <sz val="9"/>
        <rFont val="Arial"/>
        <family val="2"/>
      </rPr>
      <t>2</t>
    </r>
    <r>
      <rPr>
        <b/>
        <sz val="9"/>
        <rFont val="Arial"/>
        <family val="2"/>
      </rPr>
      <t xml:space="preserve"> per mmBtu</t>
    </r>
  </si>
  <si>
    <r>
      <t>g CH</t>
    </r>
    <r>
      <rPr>
        <b/>
        <vertAlign val="subscript"/>
        <sz val="9"/>
        <rFont val="Arial"/>
        <family val="2"/>
      </rPr>
      <t>4</t>
    </r>
    <r>
      <rPr>
        <b/>
        <sz val="9"/>
        <rFont val="Arial"/>
        <family val="2"/>
      </rPr>
      <t xml:space="preserve"> per mmBtu</t>
    </r>
  </si>
  <si>
    <r>
      <t>g N</t>
    </r>
    <r>
      <rPr>
        <b/>
        <vertAlign val="subscript"/>
        <sz val="9"/>
        <rFont val="Arial"/>
        <family val="2"/>
      </rPr>
      <t>2</t>
    </r>
    <r>
      <rPr>
        <b/>
        <sz val="9"/>
        <rFont val="Arial"/>
        <family val="2"/>
      </rPr>
      <t>O per mmBtu</t>
    </r>
  </si>
  <si>
    <r>
      <t>kg CO</t>
    </r>
    <r>
      <rPr>
        <b/>
        <vertAlign val="subscript"/>
        <sz val="9"/>
        <rFont val="Arial"/>
        <family val="2"/>
      </rPr>
      <t>2</t>
    </r>
    <r>
      <rPr>
        <b/>
        <sz val="9"/>
        <rFont val="Arial"/>
        <family val="2"/>
      </rPr>
      <t xml:space="preserve"> per short ton</t>
    </r>
  </si>
  <si>
    <r>
      <t>g CH</t>
    </r>
    <r>
      <rPr>
        <b/>
        <vertAlign val="subscript"/>
        <sz val="9"/>
        <rFont val="Arial"/>
        <family val="2"/>
      </rPr>
      <t>4</t>
    </r>
    <r>
      <rPr>
        <b/>
        <sz val="9"/>
        <rFont val="Arial"/>
        <family val="2"/>
      </rPr>
      <t xml:space="preserve"> per short ton</t>
    </r>
  </si>
  <si>
    <r>
      <t>g N</t>
    </r>
    <r>
      <rPr>
        <b/>
        <vertAlign val="subscript"/>
        <sz val="9"/>
        <rFont val="Arial"/>
        <family val="2"/>
      </rPr>
      <t>2</t>
    </r>
    <r>
      <rPr>
        <b/>
        <sz val="9"/>
        <rFont val="Arial"/>
        <family val="2"/>
      </rPr>
      <t>O per short ton</t>
    </r>
  </si>
  <si>
    <t>Coal and Coke</t>
  </si>
  <si>
    <t>Compressed Natural Gas (CNG)</t>
  </si>
  <si>
    <t>Liquefied Natural Gas (LNG)</t>
  </si>
  <si>
    <t>Residual Fuel Oil</t>
  </si>
  <si>
    <t>Source:</t>
  </si>
  <si>
    <t>Other Fuels - Solid</t>
  </si>
  <si>
    <t xml:space="preserve">Federal Register EPA; 40 CFR Part 98; e-CFR, June 13, 2017 (see link below). Table C-1, Table C-2, Table AA-1.  </t>
  </si>
  <si>
    <t>https://www.ecfr.gov/cgi-bin/text-idx?SID=ae265d7d6f98ec86fcd8640b9793a3f6&amp;mc=true&amp;node=pt40.23.98&amp;rgn=div5#ap40.23.98_19.1</t>
  </si>
  <si>
    <r>
      <t>LNG:  The factor was developed based on the CO</t>
    </r>
    <r>
      <rPr>
        <vertAlign val="subscript"/>
        <sz val="9"/>
        <rFont val="Arial"/>
        <family val="2"/>
      </rPr>
      <t>2</t>
    </r>
    <r>
      <rPr>
        <sz val="9"/>
        <rFont val="Arial"/>
        <family val="2"/>
      </rPr>
      <t xml:space="preserve"> factor for Natural Gas factor and LNG fuel density from GREET1_2017.xlsx Model, Argonne National Laboratory.  This represents a methodology change from previous versions. </t>
    </r>
  </si>
  <si>
    <t>Table 3</t>
  </si>
  <si>
    <r>
      <t xml:space="preserve">   Mobile Combustion CH</t>
    </r>
    <r>
      <rPr>
        <b/>
        <vertAlign val="subscript"/>
        <sz val="12"/>
        <rFont val="Arial"/>
        <family val="2"/>
      </rPr>
      <t>4</t>
    </r>
    <r>
      <rPr>
        <b/>
        <sz val="12"/>
        <rFont val="Arial"/>
        <family val="2"/>
      </rPr>
      <t xml:space="preserve"> and N</t>
    </r>
    <r>
      <rPr>
        <b/>
        <vertAlign val="subscript"/>
        <sz val="12"/>
        <rFont val="Arial"/>
        <family val="2"/>
      </rPr>
      <t>2</t>
    </r>
    <r>
      <rPr>
        <b/>
        <sz val="12"/>
        <rFont val="Arial"/>
        <family val="2"/>
      </rPr>
      <t>O for On-Road Gasoline Vehicles</t>
    </r>
  </si>
  <si>
    <t>Biomass Fuels - Solid</t>
  </si>
  <si>
    <t>Vehicle Type</t>
  </si>
  <si>
    <t>Year</t>
  </si>
  <si>
    <r>
      <t>CH</t>
    </r>
    <r>
      <rPr>
        <b/>
        <vertAlign val="subscript"/>
        <sz val="10"/>
        <rFont val="Arial"/>
        <family val="2"/>
      </rPr>
      <t>4</t>
    </r>
    <r>
      <rPr>
        <b/>
        <sz val="10"/>
        <rFont val="Arial"/>
        <family val="2"/>
      </rPr>
      <t xml:space="preserve"> Factor 
(g / mile)</t>
    </r>
  </si>
  <si>
    <r>
      <t>N</t>
    </r>
    <r>
      <rPr>
        <b/>
        <vertAlign val="subscript"/>
        <sz val="10"/>
        <rFont val="Arial"/>
        <family val="2"/>
      </rPr>
      <t>2</t>
    </r>
    <r>
      <rPr>
        <b/>
        <sz val="10"/>
        <rFont val="Arial"/>
        <family val="2"/>
      </rPr>
      <t>O Factor 
(g / mile)</t>
    </r>
  </si>
  <si>
    <t>1973-74</t>
  </si>
  <si>
    <t>1976-77</t>
  </si>
  <si>
    <t>mmBtu per scf</t>
  </si>
  <si>
    <r>
      <t>kg CO</t>
    </r>
    <r>
      <rPr>
        <b/>
        <vertAlign val="subscript"/>
        <sz val="9"/>
        <rFont val="Arial"/>
        <family val="2"/>
      </rPr>
      <t>2</t>
    </r>
    <r>
      <rPr>
        <b/>
        <sz val="9"/>
        <rFont val="Arial"/>
        <family val="2"/>
      </rPr>
      <t xml:space="preserve"> per scf</t>
    </r>
  </si>
  <si>
    <r>
      <t>g CH</t>
    </r>
    <r>
      <rPr>
        <b/>
        <vertAlign val="subscript"/>
        <sz val="9"/>
        <rFont val="Arial"/>
        <family val="2"/>
      </rPr>
      <t>4</t>
    </r>
    <r>
      <rPr>
        <b/>
        <sz val="9"/>
        <rFont val="Arial"/>
        <family val="2"/>
      </rPr>
      <t xml:space="preserve"> per scf</t>
    </r>
  </si>
  <si>
    <r>
      <t>g N</t>
    </r>
    <r>
      <rPr>
        <b/>
        <vertAlign val="subscript"/>
        <sz val="9"/>
        <rFont val="Arial"/>
        <family val="2"/>
      </rPr>
      <t>2</t>
    </r>
    <r>
      <rPr>
        <b/>
        <sz val="9"/>
        <rFont val="Arial"/>
        <family val="2"/>
      </rPr>
      <t>O per scf</t>
    </r>
  </si>
  <si>
    <t>1978-79</t>
  </si>
  <si>
    <t>Other Fuels - Gaseous</t>
  </si>
  <si>
    <t>1984-93</t>
  </si>
  <si>
    <t>Biomass Fuels - Gaseous</t>
  </si>
  <si>
    <t>mmBtu per gallon</t>
  </si>
  <si>
    <r>
      <t>kg CO</t>
    </r>
    <r>
      <rPr>
        <b/>
        <vertAlign val="subscript"/>
        <sz val="9"/>
        <rFont val="Arial"/>
        <family val="2"/>
      </rPr>
      <t>2</t>
    </r>
    <r>
      <rPr>
        <b/>
        <sz val="9"/>
        <rFont val="Arial"/>
        <family val="2"/>
      </rPr>
      <t xml:space="preserve"> per gallon</t>
    </r>
  </si>
  <si>
    <r>
      <t>g CH</t>
    </r>
    <r>
      <rPr>
        <b/>
        <vertAlign val="subscript"/>
        <sz val="9"/>
        <rFont val="Arial"/>
        <family val="2"/>
      </rPr>
      <t>4</t>
    </r>
    <r>
      <rPr>
        <b/>
        <sz val="9"/>
        <rFont val="Arial"/>
        <family val="2"/>
      </rPr>
      <t xml:space="preserve"> per gallon</t>
    </r>
  </si>
  <si>
    <r>
      <t>g N</t>
    </r>
    <r>
      <rPr>
        <b/>
        <vertAlign val="subscript"/>
        <sz val="9"/>
        <rFont val="Arial"/>
        <family val="2"/>
      </rPr>
      <t>2</t>
    </r>
    <r>
      <rPr>
        <b/>
        <sz val="9"/>
        <rFont val="Arial"/>
        <family val="2"/>
      </rPr>
      <t>O per gallon</t>
    </r>
  </si>
  <si>
    <t>Petroleum Products</t>
  </si>
  <si>
    <t>2009-present</t>
  </si>
  <si>
    <t>Gasoline Light-Duty Trucks</t>
  </si>
  <si>
    <t>(Vans, Pickup Trucks, SUVs)</t>
  </si>
  <si>
    <t>1977-78</t>
  </si>
  <si>
    <t>1979-80</t>
  </si>
  <si>
    <t>1987-93</t>
  </si>
  <si>
    <t>Biomass Fuels - Liquid</t>
  </si>
  <si>
    <t>2008-present</t>
  </si>
  <si>
    <t>Biomass Fuels - 
Kraft Pulping Liquor, by Wood Furnish</t>
  </si>
  <si>
    <t>Gasoline Heavy-Duty Vehicles</t>
  </si>
  <si>
    <t>&lt;1981</t>
  </si>
  <si>
    <t>North American Softwood</t>
  </si>
  <si>
    <t>1982-84</t>
  </si>
  <si>
    <t>North American Hardwood</t>
  </si>
  <si>
    <t>1985-86</t>
  </si>
  <si>
    <t>Bagasse</t>
  </si>
  <si>
    <t>Bamboo</t>
  </si>
  <si>
    <t>1988-1989</t>
  </si>
  <si>
    <t>Straw</t>
  </si>
  <si>
    <t>1990-1995</t>
  </si>
  <si>
    <r>
      <rPr>
        <b/>
        <sz val="9"/>
        <rFont val="Arial"/>
        <family val="2"/>
      </rPr>
      <t>Note:</t>
    </r>
    <r>
      <rPr>
        <sz val="9"/>
        <rFont val="Arial"/>
        <family val="2"/>
      </rPr>
      <t xml:space="preserve"> Emission factors are per unit of heat content using higher heating values (HHV). If heat content is available from the fuel supplier, it is preferable to use that value. If not, default heat contents are provided.</t>
    </r>
  </si>
  <si>
    <t>Activity</t>
  </si>
  <si>
    <t>Fuel</t>
  </si>
  <si>
    <r>
      <t>kg CO</t>
    </r>
    <r>
      <rPr>
        <vertAlign val="subscript"/>
        <sz val="11"/>
        <color indexed="56"/>
        <rFont val="Calibri"/>
        <family val="2"/>
      </rPr>
      <t>2</t>
    </r>
    <r>
      <rPr>
        <sz val="11"/>
        <color indexed="56"/>
        <rFont val="Calibri"/>
        <family val="2"/>
      </rPr>
      <t>e</t>
    </r>
  </si>
  <si>
    <r>
      <t>kg CO</t>
    </r>
    <r>
      <rPr>
        <vertAlign val="subscript"/>
        <sz val="11"/>
        <color indexed="56"/>
        <rFont val="Calibri"/>
        <family val="2"/>
      </rPr>
      <t>2</t>
    </r>
  </si>
  <si>
    <r>
      <t>kg CH</t>
    </r>
    <r>
      <rPr>
        <vertAlign val="subscript"/>
        <sz val="11"/>
        <color indexed="56"/>
        <rFont val="Calibri"/>
        <family val="2"/>
      </rPr>
      <t>4</t>
    </r>
  </si>
  <si>
    <r>
      <t>kg N</t>
    </r>
    <r>
      <rPr>
        <vertAlign val="subscript"/>
        <sz val="11"/>
        <color indexed="56"/>
        <rFont val="Calibri"/>
        <family val="2"/>
      </rPr>
      <t>2</t>
    </r>
    <r>
      <rPr>
        <sz val="11"/>
        <color indexed="56"/>
        <rFont val="Calibri"/>
        <family val="2"/>
      </rPr>
      <t>O</t>
    </r>
  </si>
  <si>
    <t>Gaseous fuels</t>
  </si>
  <si>
    <t>tonnes</t>
  </si>
  <si>
    <t>kWh (Net CV)</t>
  </si>
  <si>
    <t>kWh (Gross CV)</t>
  </si>
  <si>
    <t>LNG</t>
  </si>
  <si>
    <t>1960-1995</t>
  </si>
  <si>
    <t>1996-present</t>
  </si>
  <si>
    <r>
      <t xml:space="preserve">Source:  </t>
    </r>
    <r>
      <rPr>
        <sz val="9"/>
        <rFont val="Arial"/>
        <family val="2"/>
      </rPr>
      <t>EPA (2017) Inventory of U.S. Greenhouse Gas Emissions and Sinks: 1990-2015. All values are calculated from Tables A-104 through A-110.</t>
    </r>
  </si>
  <si>
    <t>LPG</t>
  </si>
  <si>
    <t>Table 4</t>
  </si>
  <si>
    <r>
      <t xml:space="preserve">    Mobile Combustion CH</t>
    </r>
    <r>
      <rPr>
        <b/>
        <vertAlign val="subscript"/>
        <sz val="12"/>
        <rFont val="Arial"/>
        <family val="2"/>
      </rPr>
      <t>4</t>
    </r>
    <r>
      <rPr>
        <b/>
        <sz val="12"/>
        <rFont val="Arial"/>
        <family val="2"/>
      </rPr>
      <t xml:space="preserve"> and N</t>
    </r>
    <r>
      <rPr>
        <b/>
        <vertAlign val="subscript"/>
        <sz val="12"/>
        <rFont val="Arial"/>
        <family val="2"/>
      </rPr>
      <t>2</t>
    </r>
    <r>
      <rPr>
        <b/>
        <sz val="12"/>
        <rFont val="Arial"/>
        <family val="2"/>
      </rPr>
      <t>O for On-Road Diesel and Alternative Fuel Vehicles</t>
    </r>
  </si>
  <si>
    <t>Vehicle Year</t>
  </si>
  <si>
    <r>
      <t>CH</t>
    </r>
    <r>
      <rPr>
        <b/>
        <vertAlign val="subscript"/>
        <sz val="10"/>
        <rFont val="Arial"/>
        <family val="2"/>
      </rPr>
      <t xml:space="preserve">4 </t>
    </r>
    <r>
      <rPr>
        <b/>
        <sz val="10"/>
        <rFont val="Arial"/>
        <family val="2"/>
      </rPr>
      <t>Factor 
(g / mile)</t>
    </r>
  </si>
  <si>
    <t>Natural gas</t>
  </si>
  <si>
    <t>1960-1982</t>
  </si>
  <si>
    <t>cubic metres</t>
  </si>
  <si>
    <t>1983-1995</t>
  </si>
  <si>
    <t>Diesel Light-Duty Trucks</t>
  </si>
  <si>
    <t>Natural gas (100% mineral blend)</t>
  </si>
  <si>
    <t>Diesel Medium- and Heavy-Duty Vehicles</t>
  </si>
  <si>
    <t>1960-present</t>
  </si>
  <si>
    <t>CNG Light-Duty Vehicles</t>
  </si>
  <si>
    <t>Other petroleum gas</t>
  </si>
  <si>
    <t>CNG Medium- and Heavy-Duty Vehicles</t>
  </si>
  <si>
    <t>CNG Buses</t>
  </si>
  <si>
    <t>LPG Light-Duty Vehicles</t>
  </si>
  <si>
    <t>LPG Medium- and Heavy-Duty Vehicles</t>
  </si>
  <si>
    <t>LNG Medium- and Heavy-Duty Vehicles</t>
  </si>
  <si>
    <t>Ethanol Light-Duty Vehicles</t>
  </si>
  <si>
    <t>Ethanol Medium- and Heavy-Duty Vehicles</t>
  </si>
  <si>
    <t>Liquid fuels</t>
  </si>
  <si>
    <t>Aviation spirit</t>
  </si>
  <si>
    <t>Ethanol Buses</t>
  </si>
  <si>
    <t>Biodiesel Light-Duty Vehicles</t>
  </si>
  <si>
    <t>Biodiesel Medium- and Heavy-Duty Vehicles</t>
  </si>
  <si>
    <t>Biodiesel Buses</t>
  </si>
  <si>
    <t>Aviation turbine fuel</t>
  </si>
  <si>
    <t>Table 5</t>
  </si>
  <si>
    <r>
      <t xml:space="preserve">    Mobile Combustion CH</t>
    </r>
    <r>
      <rPr>
        <b/>
        <vertAlign val="subscript"/>
        <sz val="12"/>
        <rFont val="Arial"/>
        <family val="2"/>
      </rPr>
      <t>4</t>
    </r>
    <r>
      <rPr>
        <b/>
        <sz val="12"/>
        <rFont val="Arial"/>
        <family val="2"/>
      </rPr>
      <t xml:space="preserve"> and N</t>
    </r>
    <r>
      <rPr>
        <b/>
        <vertAlign val="subscript"/>
        <sz val="12"/>
        <rFont val="Arial"/>
        <family val="2"/>
      </rPr>
      <t>2</t>
    </r>
    <r>
      <rPr>
        <b/>
        <sz val="12"/>
        <rFont val="Arial"/>
        <family val="2"/>
      </rPr>
      <t>O for Non-Road Vehicles</t>
    </r>
  </si>
  <si>
    <t>Burning oil</t>
  </si>
  <si>
    <r>
      <t>CH</t>
    </r>
    <r>
      <rPr>
        <b/>
        <vertAlign val="subscript"/>
        <sz val="10"/>
        <rFont val="Arial"/>
        <family val="2"/>
      </rPr>
      <t xml:space="preserve">4 </t>
    </r>
    <r>
      <rPr>
        <b/>
        <sz val="10"/>
        <rFont val="Arial"/>
        <family val="2"/>
      </rPr>
      <t xml:space="preserve">Factor 
(g / gallon) </t>
    </r>
  </si>
  <si>
    <r>
      <t>N</t>
    </r>
    <r>
      <rPr>
        <b/>
        <vertAlign val="subscript"/>
        <sz val="10"/>
        <rFont val="Arial"/>
        <family val="2"/>
      </rPr>
      <t>2</t>
    </r>
    <r>
      <rPr>
        <b/>
        <sz val="10"/>
        <rFont val="Arial"/>
        <family val="2"/>
      </rPr>
      <t xml:space="preserve">O Factor 
(g / gallon) </t>
    </r>
  </si>
  <si>
    <t>Residual Fuel Oil Ships and Boats</t>
  </si>
  <si>
    <t>Diesel (average biofuel blend)</t>
  </si>
  <si>
    <t>Diesel Locomotives</t>
  </si>
  <si>
    <t>Gasoline Agricultural Equip.</t>
  </si>
  <si>
    <t>Diesel Agricultural Equip.</t>
  </si>
  <si>
    <t>Gasoline Construction Equip.</t>
  </si>
  <si>
    <t>Diesel (100% mineral diesel)</t>
  </si>
  <si>
    <t>Diesel Construction Equip.</t>
  </si>
  <si>
    <t>Fuel oil</t>
  </si>
  <si>
    <t>LPG Non-Road Vehicles</t>
  </si>
  <si>
    <t>Biodiesel Non-Road Vehicles</t>
  </si>
  <si>
    <r>
      <t xml:space="preserve">Source:  </t>
    </r>
    <r>
      <rPr>
        <sz val="9"/>
        <rFont val="Arial"/>
        <family val="2"/>
      </rPr>
      <t>EPA (2017) Inventory of U.S. Greenhouse Gas Emissions and Sinks: 1990-2015. All values are calculated from Table A-110.</t>
    </r>
  </si>
  <si>
    <t>Gas oil</t>
  </si>
  <si>
    <r>
      <rPr>
        <b/>
        <sz val="9"/>
        <rFont val="Arial"/>
        <family val="2"/>
      </rPr>
      <t>Note:</t>
    </r>
    <r>
      <rPr>
        <sz val="9"/>
        <rFont val="Arial"/>
        <family val="2"/>
      </rPr>
      <t xml:space="preserve"> LPG non-road vehicles assumed equal to other gasoline sources.  Biodiesel vehicles assumed equal to other diesel sources.</t>
    </r>
  </si>
  <si>
    <t>Table 8</t>
  </si>
  <si>
    <t xml:space="preserve">Business Travel and Employee Commuting </t>
  </si>
  <si>
    <r>
      <t>CO</t>
    </r>
    <r>
      <rPr>
        <b/>
        <vertAlign val="subscript"/>
        <sz val="10"/>
        <rFont val="Arial"/>
        <family val="2"/>
      </rPr>
      <t>2</t>
    </r>
    <r>
      <rPr>
        <b/>
        <sz val="10"/>
        <rFont val="Arial"/>
        <family val="2"/>
      </rPr>
      <t xml:space="preserve"> Factor 
(kg / unit)</t>
    </r>
  </si>
  <si>
    <r>
      <t>CH</t>
    </r>
    <r>
      <rPr>
        <b/>
        <vertAlign val="subscript"/>
        <sz val="10"/>
        <rFont val="Arial"/>
        <family val="2"/>
      </rPr>
      <t xml:space="preserve">4 </t>
    </r>
    <r>
      <rPr>
        <b/>
        <sz val="10"/>
        <rFont val="Arial"/>
        <family val="2"/>
      </rPr>
      <t>Factor 
(g / unit)</t>
    </r>
  </si>
  <si>
    <r>
      <t>N</t>
    </r>
    <r>
      <rPr>
        <b/>
        <vertAlign val="subscript"/>
        <sz val="10"/>
        <rFont val="Arial"/>
        <family val="2"/>
      </rPr>
      <t>2</t>
    </r>
    <r>
      <rPr>
        <b/>
        <sz val="10"/>
        <rFont val="Arial"/>
        <family val="2"/>
      </rPr>
      <t>O Factor 
(g / unit)</t>
    </r>
  </si>
  <si>
    <r>
      <t xml:space="preserve">Passenger Car </t>
    </r>
    <r>
      <rPr>
        <vertAlign val="superscript"/>
        <sz val="10"/>
        <rFont val="Arial"/>
        <family val="2"/>
      </rPr>
      <t>A</t>
    </r>
  </si>
  <si>
    <r>
      <t xml:space="preserve">Light-Duty Truck </t>
    </r>
    <r>
      <rPr>
        <vertAlign val="superscript"/>
        <sz val="10"/>
        <rFont val="Arial"/>
        <family val="2"/>
      </rPr>
      <t>B</t>
    </r>
  </si>
  <si>
    <t>Naphtha</t>
  </si>
  <si>
    <r>
      <t>Intercity Rail (i.e. Amtrak)</t>
    </r>
    <r>
      <rPr>
        <vertAlign val="superscript"/>
        <sz val="10"/>
        <rFont val="Arial"/>
        <family val="2"/>
      </rPr>
      <t xml:space="preserve"> C</t>
    </r>
  </si>
  <si>
    <r>
      <t>Commuter Rail</t>
    </r>
    <r>
      <rPr>
        <vertAlign val="superscript"/>
        <sz val="10"/>
        <rFont val="Arial"/>
        <family val="2"/>
      </rPr>
      <t xml:space="preserve"> D</t>
    </r>
  </si>
  <si>
    <r>
      <t>Transit Rail (i.e. Subway, Tram)</t>
    </r>
    <r>
      <rPr>
        <vertAlign val="superscript"/>
        <sz val="10"/>
        <rFont val="Arial"/>
        <family val="2"/>
      </rPr>
      <t xml:space="preserve"> E</t>
    </r>
  </si>
  <si>
    <t>Petrol (average biofuel blend)</t>
  </si>
  <si>
    <t>Petrol (100% mineral petrol)</t>
  </si>
  <si>
    <r>
      <rPr>
        <b/>
        <sz val="9"/>
        <rFont val="Arial"/>
        <family val="2"/>
      </rPr>
      <t>Source:</t>
    </r>
    <r>
      <rPr>
        <sz val="9"/>
        <rFont val="Arial"/>
        <family val="2"/>
      </rPr>
      <t xml:space="preserve"> 
CO</t>
    </r>
    <r>
      <rPr>
        <vertAlign val="subscript"/>
        <sz val="9"/>
        <rFont val="Arial"/>
        <family val="2"/>
      </rPr>
      <t>2</t>
    </r>
    <r>
      <rPr>
        <sz val="9"/>
        <rFont val="Arial"/>
        <family val="2"/>
      </rPr>
      <t>, CH</t>
    </r>
    <r>
      <rPr>
        <vertAlign val="subscript"/>
        <sz val="9"/>
        <rFont val="Arial"/>
        <family val="2"/>
      </rPr>
      <t>4</t>
    </r>
    <r>
      <rPr>
        <sz val="9"/>
        <rFont val="Arial"/>
        <family val="2"/>
      </rPr>
      <t>, and N</t>
    </r>
    <r>
      <rPr>
        <vertAlign val="subscript"/>
        <sz val="9"/>
        <rFont val="Arial"/>
        <family val="2"/>
      </rPr>
      <t>2</t>
    </r>
    <r>
      <rPr>
        <sz val="9"/>
        <rFont val="Arial"/>
        <family val="2"/>
      </rPr>
      <t xml:space="preserve">O emissions data for highway vehicles are from Table 2-13 of the Inventory of U.S. Greenhouse Gas Emissions and Sinks: 1990–2015.  Vehicle-miles and passenger-miles data for highway vehicles are from Table VM-1 of the Federal Highway Administration Highway Statistics 2015.
Fuel consumption data and passenger-miles data for rail are from Tables A.14 to A.16 and 9.10 to 9.12 of the Transportation Energy Data Book: Edition 35. Fuel consumption was converted to emissions by using fuel and electricity emission factors presented in the tables above. 
Air Travel factors from 2017 Guidelines to Defra / DECC's GHG Conversion Factors for Company Reporting.  Version 1.0 August 2017. </t>
    </r>
  </si>
  <si>
    <r>
      <rPr>
        <b/>
        <sz val="9"/>
        <rFont val="Arial"/>
        <family val="2"/>
      </rPr>
      <t>Notes:</t>
    </r>
    <r>
      <rPr>
        <sz val="9"/>
        <rFont val="Arial"/>
        <family val="2"/>
      </rPr>
      <t xml:space="preserve"> 
</t>
    </r>
    <r>
      <rPr>
        <vertAlign val="superscript"/>
        <sz val="9"/>
        <rFont val="Arial"/>
        <family val="2"/>
      </rPr>
      <t xml:space="preserve">A    </t>
    </r>
    <r>
      <rPr>
        <sz val="9"/>
        <rFont val="Arial"/>
        <family val="2"/>
      </rPr>
      <t xml:space="preserve">Passenger car: includes passenger cars, minivans, SUVs, and small pickup trucks (vehicles with wheelbase less than 121 inches).  
</t>
    </r>
    <r>
      <rPr>
        <vertAlign val="superscript"/>
        <sz val="9"/>
        <rFont val="Arial"/>
        <family val="2"/>
      </rPr>
      <t>B</t>
    </r>
    <r>
      <rPr>
        <sz val="9"/>
        <rFont val="Arial"/>
        <family val="2"/>
      </rPr>
      <t xml:space="preserve"> Light-duty truck: includes full-size pickup trucks, full-size vans, and extended-length SUVs (vehicles with wheelbase greater than 121 inches). 
</t>
    </r>
    <r>
      <rPr>
        <vertAlign val="superscript"/>
        <sz val="9"/>
        <rFont val="Arial"/>
        <family val="2"/>
      </rPr>
      <t>C</t>
    </r>
    <r>
      <rPr>
        <sz val="9"/>
        <rFont val="Arial"/>
        <family val="2"/>
      </rPr>
      <t xml:space="preserve"> Intercity rail: long-distance rail between major cities, such as Amtrak
</t>
    </r>
    <r>
      <rPr>
        <vertAlign val="superscript"/>
        <sz val="9"/>
        <rFont val="Arial"/>
        <family val="2"/>
      </rPr>
      <t>D</t>
    </r>
    <r>
      <rPr>
        <sz val="9"/>
        <rFont val="Arial"/>
        <family val="2"/>
      </rPr>
      <t xml:space="preserve"> Commuter rail: rail service between a central city and adjacent suburbs (also called regional rail or suburban rail)
</t>
    </r>
    <r>
      <rPr>
        <vertAlign val="superscript"/>
        <sz val="9"/>
        <rFont val="Arial"/>
        <family val="2"/>
      </rPr>
      <t>E</t>
    </r>
    <r>
      <rPr>
        <sz val="9"/>
        <rFont val="Arial"/>
        <family val="2"/>
      </rPr>
      <t xml:space="preserve"> Transit rail: rail typically within an urban center, such as subways, elevated railways, metropolitan railways (metro), streetcars, trolley cars, and tramways.</t>
    </r>
    <r>
      <rPr>
        <vertAlign val="superscript"/>
        <sz val="9"/>
        <rFont val="Geneva"/>
      </rPr>
      <t/>
    </r>
  </si>
  <si>
    <t>Table 9</t>
  </si>
  <si>
    <t xml:space="preserve">   Upstream Transportation and Distribution and Downstream Transportation and Distribution</t>
  </si>
  <si>
    <t>Processed fuel oils - residual oil</t>
  </si>
  <si>
    <t>Processed fuel oils - distillate oil</t>
  </si>
  <si>
    <r>
      <t>Medium- and Heavy-Duty Truck</t>
    </r>
    <r>
      <rPr>
        <vertAlign val="superscript"/>
        <sz val="10"/>
        <rFont val="Arial"/>
        <family val="2"/>
      </rPr>
      <t>C</t>
    </r>
  </si>
  <si>
    <t>Refinery miscellaneous</t>
  </si>
  <si>
    <t>Waste oils</t>
  </si>
  <si>
    <t>Plug-in Hybrid Electric Vehicle</t>
  </si>
  <si>
    <t>Battery Electric Vehicle</t>
  </si>
  <si>
    <t>Type</t>
  </si>
  <si>
    <t>Cars (by market segment)</t>
  </si>
  <si>
    <t>Mini</t>
  </si>
  <si>
    <t/>
  </si>
  <si>
    <t>Marine gas oil</t>
  </si>
  <si>
    <t>miles</t>
  </si>
  <si>
    <t>Supermini</t>
  </si>
  <si>
    <t>Lower medium</t>
  </si>
  <si>
    <t>Marine fuel oil</t>
  </si>
  <si>
    <t>Upper medium</t>
  </si>
  <si>
    <t>Executive</t>
  </si>
  <si>
    <t>Luxury</t>
  </si>
  <si>
    <t>Solid fuels</t>
  </si>
  <si>
    <t>Coal (industrial)</t>
  </si>
  <si>
    <t>Sports</t>
  </si>
  <si>
    <t>Dual purpose 4X4</t>
  </si>
  <si>
    <t>Coal (electricity generation)</t>
  </si>
  <si>
    <t>MPV</t>
  </si>
  <si>
    <t>Coal (domestic)</t>
  </si>
  <si>
    <t>Hybrid</t>
  </si>
  <si>
    <t>Coking coal</t>
  </si>
  <si>
    <t>Cars (by size)</t>
  </si>
  <si>
    <t>Small car</t>
  </si>
  <si>
    <t>Petroleum coke</t>
  </si>
  <si>
    <t>Medium car</t>
  </si>
  <si>
    <t>Large car</t>
  </si>
  <si>
    <t>Coal (electricity generation - home produced coal only)</t>
  </si>
  <si>
    <t>Average car</t>
  </si>
  <si>
    <t>Biofuel</t>
  </si>
  <si>
    <t>Bioethanol</t>
  </si>
  <si>
    <t>Large</t>
  </si>
  <si>
    <t>Biomethane</t>
  </si>
  <si>
    <t>Average</t>
  </si>
  <si>
    <t>Biodiesel (from used cooking oil)</t>
  </si>
  <si>
    <t>With RF</t>
  </si>
  <si>
    <t>Without RF</t>
  </si>
  <si>
    <t>Biodiesel (from tallow)</t>
  </si>
  <si>
    <t>Haul</t>
  </si>
  <si>
    <t>Class</t>
  </si>
  <si>
    <t>Flights</t>
  </si>
  <si>
    <t>Domestic, to/from UK</t>
  </si>
  <si>
    <t>Average passenger</t>
  </si>
  <si>
    <t>passenger.km</t>
  </si>
  <si>
    <t>Short-haul, to/from UK</t>
  </si>
  <si>
    <t>Economy class</t>
  </si>
  <si>
    <t>Business class</t>
  </si>
  <si>
    <t>Long-haul, to/from UK</t>
  </si>
  <si>
    <t>Biomass</t>
  </si>
  <si>
    <t>Wood logs</t>
  </si>
  <si>
    <t>Premium economy class</t>
  </si>
  <si>
    <t>Wood chips</t>
  </si>
  <si>
    <t>First class</t>
  </si>
  <si>
    <t>International, to/from non-UK</t>
  </si>
  <si>
    <t>Wood pellets</t>
  </si>
  <si>
    <t>Grass/straw</t>
  </si>
  <si>
    <t>Foot passenger</t>
  </si>
  <si>
    <t>Biogas</t>
  </si>
  <si>
    <t>Car passenger</t>
  </si>
  <si>
    <t>Average (all passenger)</t>
  </si>
  <si>
    <t>Landfill gas</t>
  </si>
  <si>
    <t>Taxis</t>
  </si>
  <si>
    <t>Regular taxi</t>
  </si>
  <si>
    <t>Black cab</t>
  </si>
  <si>
    <t>Local bus (not London)</t>
  </si>
  <si>
    <t>Local London bus</t>
  </si>
  <si>
    <t>Average local bus</t>
  </si>
  <si>
    <t>Coach</t>
  </si>
  <si>
    <t>London Underground</t>
  </si>
  <si>
    <t>eGRID subregion acronym</t>
  </si>
  <si>
    <t>eGRID subregion name</t>
  </si>
  <si>
    <t>Total output emission rates</t>
  </si>
  <si>
    <t>lb/MWh</t>
  </si>
  <si>
    <t>CO2e</t>
  </si>
  <si>
    <t>Annual NOx</t>
  </si>
  <si>
    <t>Ozone Season NOx</t>
  </si>
  <si>
    <t>SO2</t>
  </si>
  <si>
    <t>kgCO2/kWh</t>
  </si>
  <si>
    <t>kgCH4/kWh</t>
  </si>
  <si>
    <t>kgN2O/kWh</t>
  </si>
  <si>
    <t>ASCC Alaska Grid</t>
  </si>
  <si>
    <t>ASCC Miscellaneous</t>
  </si>
  <si>
    <t>WECC Southwest</t>
  </si>
  <si>
    <t>WECC California</t>
  </si>
  <si>
    <t>ERCOT All</t>
  </si>
  <si>
    <t>FRCC All</t>
  </si>
  <si>
    <t>HICC Miscellaneous</t>
  </si>
  <si>
    <t>HICC Oahu</t>
  </si>
  <si>
    <t>MRO East</t>
  </si>
  <si>
    <t>MRO West</t>
  </si>
  <si>
    <t>NPCC New England</t>
  </si>
  <si>
    <t>WECC Northwest</t>
  </si>
  <si>
    <t>NPCC NYC/Westchester</t>
  </si>
  <si>
    <t>NPCC Long Island</t>
  </si>
  <si>
    <t>NPCC Upstate NY</t>
  </si>
  <si>
    <t>RFC East</t>
  </si>
  <si>
    <t>RFC Michigan</t>
  </si>
  <si>
    <t>RFC West</t>
  </si>
  <si>
    <t>WECC Rockies</t>
  </si>
  <si>
    <t>SPP North</t>
  </si>
  <si>
    <t>SPP South</t>
  </si>
  <si>
    <t>SERC Mississippi Valley</t>
  </si>
  <si>
    <t>SERC Midwest</t>
  </si>
  <si>
    <t>SERC South</t>
  </si>
  <si>
    <t>SERC Tennessee Valley</t>
  </si>
  <si>
    <t>SERC Virginia/Carolina</t>
  </si>
  <si>
    <t>Impact Type</t>
  </si>
  <si>
    <t>2016 (preliminary data)</t>
  </si>
  <si>
    <t>2017 (preliminary data)</t>
  </si>
  <si>
    <t>CA</t>
  </si>
  <si>
    <t xml:space="preserve">﻿CO2 intensity (g CO2 / kWh) </t>
  </si>
  <si>
    <t xml:space="preserve">CH4 intensity (g CH4 / kWh) </t>
  </si>
  <si>
    <t>N2O intensity (g N2O / kWh)</t>
  </si>
  <si>
    <t>Generation Intensity (g CO2 eq / kWh)</t>
  </si>
  <si>
    <t>NL</t>
  </si>
  <si>
    <t>PE</t>
  </si>
  <si>
    <t>NS</t>
  </si>
  <si>
    <t>NB</t>
  </si>
  <si>
    <t>Q</t>
  </si>
  <si>
    <t>O</t>
  </si>
  <si>
    <t>M</t>
  </si>
  <si>
    <t>S</t>
  </si>
  <si>
    <t>A</t>
  </si>
  <si>
    <t>BC</t>
  </si>
  <si>
    <t>Y</t>
  </si>
  <si>
    <t>NTN</t>
  </si>
  <si>
    <t>Table 10a</t>
  </si>
  <si>
    <t xml:space="preserve">   Global Warming Potentials (GWPs)</t>
  </si>
  <si>
    <t>Gas</t>
  </si>
  <si>
    <t>100-Year GWP</t>
  </si>
  <si>
    <r>
      <t>CO</t>
    </r>
    <r>
      <rPr>
        <vertAlign val="subscript"/>
        <sz val="10"/>
        <rFont val="Arial"/>
        <family val="2"/>
      </rPr>
      <t>2</t>
    </r>
    <r>
      <rPr>
        <sz val="10"/>
        <rFont val="Arial"/>
        <family val="2"/>
      </rPr>
      <t xml:space="preserve"> </t>
    </r>
  </si>
  <si>
    <r>
      <t>CH</t>
    </r>
    <r>
      <rPr>
        <vertAlign val="subscript"/>
        <sz val="10"/>
        <rFont val="Arial"/>
        <family val="2"/>
      </rPr>
      <t>4</t>
    </r>
  </si>
  <si>
    <r>
      <t>N</t>
    </r>
    <r>
      <rPr>
        <vertAlign val="subscript"/>
        <sz val="10"/>
        <rFont val="Arial"/>
        <family val="2"/>
      </rPr>
      <t>2</t>
    </r>
    <r>
      <rPr>
        <sz val="10"/>
        <rFont val="Arial"/>
        <family val="2"/>
      </rPr>
      <t>O</t>
    </r>
  </si>
  <si>
    <t>HFC-23</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</si>
  <si>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</si>
  <si>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</si>
  <si>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</si>
  <si>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</si>
  <si>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</si>
  <si>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</si>
  <si>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</si>
  <si>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</si>
  <si>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</si>
  <si>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</si>
  <si>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</si>
  <si>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</si>
  <si>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</si>
  <si>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</si>
  <si>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</si>
  <si>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</si>
  <si>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</si>
  <si>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</si>
  <si>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r>
      <t>SF</t>
    </r>
    <r>
      <rPr>
        <vertAlign val="subscript"/>
        <sz val="10"/>
        <rFont val="Arial"/>
        <family val="2"/>
      </rPr>
      <t>6</t>
    </r>
    <r>
      <rPr>
        <sz val="10"/>
        <rFont val="Arial"/>
        <family val="2"/>
      </rPr>
      <t xml:space="preserve"> </t>
    </r>
  </si>
  <si>
    <r>
      <t>NF</t>
    </r>
    <r>
      <rPr>
        <vertAlign val="subscript"/>
        <sz val="10"/>
        <rFont val="Arial"/>
        <family val="2"/>
      </rPr>
      <t>3</t>
    </r>
  </si>
  <si>
    <r>
      <t>CF</t>
    </r>
    <r>
      <rPr>
        <vertAlign val="subscript"/>
        <sz val="10"/>
        <rFont val="Arial"/>
        <family val="2"/>
      </rPr>
      <t>4</t>
    </r>
    <r>
      <rPr>
        <sz val="10"/>
        <rFont val="Arial"/>
        <family val="2"/>
      </rPr>
      <t xml:space="preserve"> </t>
    </r>
  </si>
  <si>
    <r>
      <t>C</t>
    </r>
    <r>
      <rPr>
        <vertAlign val="subscript"/>
        <sz val="10"/>
        <rFont val="Arial"/>
        <family val="2"/>
      </rPr>
      <t>2</t>
    </r>
    <r>
      <rPr>
        <sz val="10"/>
        <rFont val="Arial"/>
        <family val="2"/>
      </rPr>
      <t>F</t>
    </r>
    <r>
      <rPr>
        <vertAlign val="subscript"/>
        <sz val="10"/>
        <rFont val="Arial"/>
        <family val="2"/>
      </rPr>
      <t>6</t>
    </r>
    <r>
      <rPr>
        <sz val="10"/>
        <rFont val="Arial"/>
        <family val="2"/>
      </rPr>
      <t xml:space="preserve"> </t>
    </r>
  </si>
  <si>
    <r>
      <t>C</t>
    </r>
    <r>
      <rPr>
        <vertAlign val="subscript"/>
        <sz val="10"/>
        <rFont val="Arial"/>
        <family val="2"/>
      </rPr>
      <t>3</t>
    </r>
    <r>
      <rPr>
        <sz val="10"/>
        <rFont val="Arial"/>
        <family val="2"/>
      </rPr>
      <t>F</t>
    </r>
    <r>
      <rPr>
        <vertAlign val="subscript"/>
        <sz val="10"/>
        <rFont val="Arial"/>
        <family val="2"/>
      </rPr>
      <t>8</t>
    </r>
  </si>
  <si>
    <r>
      <t>c-C</t>
    </r>
    <r>
      <rPr>
        <vertAlign val="subscript"/>
        <sz val="10"/>
        <rFont val="Arial"/>
        <family val="2"/>
      </rPr>
      <t>4</t>
    </r>
    <r>
      <rPr>
        <sz val="10"/>
        <rFont val="Arial"/>
        <family val="2"/>
      </rPr>
      <t>F</t>
    </r>
    <r>
      <rPr>
        <vertAlign val="subscript"/>
        <sz val="10"/>
        <rFont val="Arial"/>
        <family val="2"/>
      </rPr>
      <t>8</t>
    </r>
  </si>
  <si>
    <r>
      <t>C</t>
    </r>
    <r>
      <rPr>
        <vertAlign val="subscript"/>
        <sz val="10"/>
        <rFont val="Arial"/>
        <family val="2"/>
      </rPr>
      <t>4</t>
    </r>
    <r>
      <rPr>
        <sz val="10"/>
        <rFont val="Arial"/>
        <family val="2"/>
      </rPr>
      <t>F</t>
    </r>
    <r>
      <rPr>
        <vertAlign val="subscript"/>
        <sz val="10"/>
        <rFont val="Arial"/>
        <family val="2"/>
      </rPr>
      <t>10</t>
    </r>
    <r>
      <rPr>
        <sz val="10"/>
        <rFont val="Arial"/>
        <family val="2"/>
      </rPr>
      <t xml:space="preserve"> </t>
    </r>
  </si>
  <si>
    <r>
      <t>C</t>
    </r>
    <r>
      <rPr>
        <vertAlign val="subscript"/>
        <sz val="10"/>
        <rFont val="Arial"/>
        <family val="2"/>
      </rPr>
      <t>5</t>
    </r>
    <r>
      <rPr>
        <sz val="10"/>
        <rFont val="Arial"/>
        <family val="2"/>
      </rPr>
      <t>F</t>
    </r>
    <r>
      <rPr>
        <vertAlign val="subscript"/>
        <sz val="10"/>
        <rFont val="Arial"/>
        <family val="2"/>
      </rPr>
      <t>12</t>
    </r>
  </si>
  <si>
    <r>
      <t>C</t>
    </r>
    <r>
      <rPr>
        <vertAlign val="subscript"/>
        <sz val="10"/>
        <rFont val="Arial"/>
        <family val="2"/>
      </rPr>
      <t>6</t>
    </r>
    <r>
      <rPr>
        <sz val="10"/>
        <rFont val="Arial"/>
        <family val="2"/>
      </rPr>
      <t>F</t>
    </r>
    <r>
      <rPr>
        <vertAlign val="subscript"/>
        <sz val="10"/>
        <rFont val="Arial"/>
        <family val="2"/>
      </rPr>
      <t>14</t>
    </r>
  </si>
  <si>
    <r>
      <t>C</t>
    </r>
    <r>
      <rPr>
        <vertAlign val="subscript"/>
        <sz val="10"/>
        <rFont val="Arial"/>
        <family val="2"/>
      </rPr>
      <t>10</t>
    </r>
    <r>
      <rPr>
        <sz val="10"/>
        <rFont val="Arial"/>
        <family val="2"/>
      </rPr>
      <t>F</t>
    </r>
    <r>
      <rPr>
        <vertAlign val="subscript"/>
        <sz val="10"/>
        <rFont val="Arial"/>
        <family val="2"/>
      </rPr>
      <t>18</t>
    </r>
  </si>
  <si>
    <t>&gt;7,500</t>
  </si>
  <si>
    <r>
      <rPr>
        <b/>
        <sz val="9"/>
        <rFont val="Arial"/>
        <family val="2"/>
      </rPr>
      <t>Source:</t>
    </r>
    <r>
      <rPr>
        <sz val="9"/>
        <rFont val="Arial"/>
        <family val="2"/>
      </rPr>
      <t xml:space="preserve"> 
100-year GWPs from IPCC Fourth Assessment Report (AR4), 2007.  IPCC AR4 was published in 2007 and is among the most current and comprehensive peer-reviewed assessments of climate change. AR4 provides revised GWPs of several GHGs relative to the values provided in previous assessment reports, following advances in scientific knowledge on the radiative efficiencies and atmospheric lifetimes of these GHGs and of CO</t>
    </r>
    <r>
      <rPr>
        <vertAlign val="subscript"/>
        <sz val="9"/>
        <rFont val="Arial"/>
        <family val="2"/>
      </rPr>
      <t>2</t>
    </r>
    <r>
      <rPr>
        <sz val="9"/>
        <rFont val="Arial"/>
        <family val="2"/>
      </rPr>
      <t>. Because the GWPs provided in AR4 reflect an improved scientific understanding of the radiative effects of these gases in the atmosphere, the values provided are more appropriate for supporting the overall goal of organizational GHG reporting than the Second Assessment Report (SAR) GWP values previously used in the Emission Factors Hub. 
While EPA recognizes that Fifth Assessment Report (AR5) GWPs have been published, in an effort to ensure consistency and comparability of GHG data between EPA’s voluntary and non-voluntary GHG reporting programs (e.g. GHG Reporting Program and National Inventory), EPA recommends the use of AR4 GWPs. The United States and other developed countries to the UNFCCC have agreed to submit annual inventories in 2015 and future years to the UNFCCC using GWP values from AR4, which will replace the current use of SAR GWP values.  Utilizing AR4 GWPs improves EPA’s ability to analyze corporate, national, and sub-national GHG data consistently, enhances communication of GHG information between programs, and gives outside stakeholders a consistent, predictable set of GWPs to avoid confusion and additional burden.</t>
    </r>
  </si>
  <si>
    <t>Table 10b</t>
  </si>
  <si>
    <t>Global Warming Potentials (GWPs) for Blended Refrigerants</t>
  </si>
  <si>
    <t>ASHRAE #</t>
  </si>
  <si>
    <t>100-year GWP</t>
  </si>
  <si>
    <t>Blend Composition</t>
  </si>
  <si>
    <t>53% HCFC-22 , 34% HCFC-124 , 13% HFC-152a</t>
  </si>
  <si>
    <t>61% HCFC-22 , 28% HCFC-124 , 11% HFC-152a</t>
  </si>
  <si>
    <t>33% HCFC-22 , 52% HCFC-124 , 15% HFC-152a</t>
  </si>
  <si>
    <t>38% HCFC-22 , 6% HFC-125 , 2% propane</t>
  </si>
  <si>
    <t>6% HCFC-22 , 38% HFC-125 , 2% propane</t>
  </si>
  <si>
    <t>56% HCFC-22 , 39% PFC-218 , 5% propane</t>
  </si>
  <si>
    <t>44% HFC-125 , 4% HFC-134a , 52% HFC 143a</t>
  </si>
  <si>
    <t>R-406A</t>
  </si>
  <si>
    <t>55% HCFC-22 , 41% HCFC-142b , 4% isobutane</t>
  </si>
  <si>
    <t>20% HFC-32 , 40% HFC-125 , 40% HFC-134a</t>
  </si>
  <si>
    <t>10% HFC-32 , 70% HFC-125 , 20% HFC-134a</t>
  </si>
  <si>
    <t>23% HFC-32 , 25% HFC-125 , 52% HFC-134a</t>
  </si>
  <si>
    <t>15% HFC-32 , 15% HFC-125 , 70% HFC-134a</t>
  </si>
  <si>
    <t>25% HFC-32 , 15% HFC-125 , 60% HFC-134a</t>
  </si>
  <si>
    <t>47% HCFC-22 , 7% HFC-125 , 46% HFC 143a</t>
  </si>
  <si>
    <t>R-409A</t>
  </si>
  <si>
    <t>60% HCFC-22 , 25% HCFC-124 , 15% HCFC-142b</t>
  </si>
  <si>
    <t>50% HFC-32 , 50% HFC-125</t>
  </si>
  <si>
    <t xml:space="preserve">45% HFC-32 , 55% HFC-125 </t>
  </si>
  <si>
    <t>87.5% HCFC-22 , 11 HFC-152a , 1.5% propylene</t>
  </si>
  <si>
    <t>94% HCFC-22 , 3% HFC-152a , 3% propylene</t>
  </si>
  <si>
    <t>R-413A</t>
  </si>
  <si>
    <t>88% HFC-134a , 9% PFC-218 , 3% isobutane</t>
  </si>
  <si>
    <t>R-414A</t>
  </si>
  <si>
    <t>51% HCFC-22 , 28.5% HCFC-124 , 16.5% HCFC-142b</t>
  </si>
  <si>
    <t>R-414B</t>
  </si>
  <si>
    <t>5% HCFC-22 , 39% HCFC-124 , 9.5% HCFC-142b</t>
  </si>
  <si>
    <t>46.6% HFC-125 , 5% HFC-134a , 3.4% butane</t>
  </si>
  <si>
    <t>85.1% HFC-125 , 11.5% HFC-134a , 3.4% isobutane</t>
  </si>
  <si>
    <t>65.1% HFC-125 , 31.5% HFC-134a , 3.4% isobutane</t>
  </si>
  <si>
    <t xml:space="preserve">47.5% HFC-227ea , 52.5% HFC-134a ,  </t>
  </si>
  <si>
    <t>50.5% HFC-125, 47% HFC-134a, 2.5% butane/pentane</t>
  </si>
  <si>
    <t>5.1% HFC-125, 93% HFC-134a, 1.9% butane/pentane</t>
  </si>
  <si>
    <t>77.5% HFC-125 , 2% HFC-143a , 1.9% isobutane</t>
  </si>
  <si>
    <t>63.2% HFC-125, 16% HFC-134a, 18% HFC-143a, 2.8% isobutane</t>
  </si>
  <si>
    <t>73.8% CFC-12 , 26.2% HFC-152a , 48.8% HCFC-22</t>
  </si>
  <si>
    <t>R-502</t>
  </si>
  <si>
    <t xml:space="preserve">48.8% HCFC-22 , 51.2% CFC-115 </t>
  </si>
  <si>
    <t>48.2% HFC-32 , 51.8% CFC-115</t>
  </si>
  <si>
    <t>5% HFC-125 , 5% HFC143a</t>
  </si>
  <si>
    <t>R-508A</t>
  </si>
  <si>
    <t>39% HFC-23 , 61% PFC-116</t>
  </si>
  <si>
    <t>R-508B</t>
  </si>
  <si>
    <t>46% HFC-23 , 54% PFC-116</t>
  </si>
  <si>
    <r>
      <rPr>
        <b/>
        <sz val="9"/>
        <rFont val="Arial"/>
        <family val="2"/>
      </rPr>
      <t>Source:</t>
    </r>
    <r>
      <rPr>
        <sz val="9"/>
        <rFont val="Arial"/>
        <family val="2"/>
      </rPr>
      <t xml:space="preserve"> 
100-year GWPs from IPCC Fourth Assessment Report (AR4), 2007.  See the source note to Table 13 for further explanation. GWPs of blended refrigerants are based on their HFC and PFC constituents, which are based on data from http://www.epa.gov/ozone/snap/refrigerants/refblend.html.</t>
    </r>
  </si>
  <si>
    <t>Mopeed 4-taktiline &lt;50 cm³ (bensiin)</t>
  </si>
  <si>
    <t>Rongitüüp</t>
  </si>
  <si>
    <t>Sõidukitüüp ja kütuseliik</t>
  </si>
  <si>
    <t>Kaupade ja teenuste KHG heite arvutamiseks on mitu võimalust, sh:</t>
  </si>
  <si>
    <t>kg või tk</t>
  </si>
  <si>
    <t>Kulupõhist meetodit kasutada siis, kui andmed kaupade massi või teenuste arvu kohta pole kättesaadavad.</t>
  </si>
  <si>
    <t>GHG protokolli kohaselt jagatakse finantsinvesteeringud nelja liiki: • Aktsiainvesteeringud • Võlainvesteeringud • Projektide rahastamine • Hallatavad investeeringud.</t>
  </si>
  <si>
    <t>https://ghgprotocol.org/life-cycle-databases</t>
  </si>
  <si>
    <t>Andmebaasid, mida võib kasutada toodete olelusringi ja ettevõtte väärtusahela (mõjuala 3) põhiste KHG eriheitetegurite leidmiseks:</t>
  </si>
  <si>
    <t>Vt EEIO andmebaasi siit:</t>
  </si>
  <si>
    <t xml:space="preserve">Võlainvesteeringute ja projektide rahastamisega seotud KHG heide arvutatakse järgmiselt: </t>
  </si>
  <si>
    <t>-</t>
  </si>
  <si>
    <t>Investeeringutest tulenevad heitkogused kajastatakse ettevõtte KHG jalajäljes lähtudes ettevõtte proportsionaalsest osast investeeringuobjekti tehtud investeeringutes.</t>
  </si>
  <si>
    <t>Kuna investeerimisportfellid võivad aruandeaasta jooksul muutuda, valitakse ettevõtte investeeringute määratlemiseks kindel ajahetk, näiteks aruandeaasta 31. detsembri, või kasutatakse aruandeaasta tüüpilist keskmist.</t>
  </si>
  <si>
    <t>KHG heide arvutatakse järgmiselt: investeeringute või rahastatava projekti mõjuala 1 ja 2 heitkogused × omakapitali osakaal või ettevõtte osakaal projekti kogukuludest (%)</t>
  </si>
  <si>
    <t>Projekti algsed rahastajad või laenuandjad peavad esimesel rahastamisaastal esitama ka kogu projekti eluea heitkogused: projekti prognoositav aastaheide x projekti eeldatav eluiga (aastat) x ettevõtte osa projekti kogukuludest</t>
  </si>
  <si>
    <t>Selle lähenemise põhjal tarbib organisatsioon kas:</t>
  </si>
  <si>
    <t>Hajusheitmed</t>
  </si>
  <si>
    <t>KHG JALAJÄLG KOKKU</t>
  </si>
  <si>
    <t>Kütuse-/energialiik</t>
  </si>
  <si>
    <t xml:space="preserve">Sisseostetud elektri KHG jalajälje arvutamisel on oluline määratleda tarbitud elektrienergia päritolu (elektritootmise allikad ja nende osakaalud tarbitud elektrienergias). </t>
  </si>
  <si>
    <t>HT-hajusheitmed (M1)</t>
  </si>
  <si>
    <t>Liikumisvahend ja kütuseliik</t>
  </si>
  <si>
    <t>Omakapitali osakaal</t>
  </si>
  <si>
    <t>Investeeringute või rahastatava projekti mõjuala 1 ja 2 heitkogused</t>
  </si>
  <si>
    <t>Investeeritava ettevõtte kogutulu</t>
  </si>
  <si>
    <t>Projekti ehitusmaksumus aruandeaastal</t>
  </si>
  <si>
    <t>Projekti tulu aruandeaastal</t>
  </si>
  <si>
    <t>Ettevõtte osa projekti kogukuludest</t>
  </si>
  <si>
    <t>Projekti prognoositav aastaheide</t>
  </si>
  <si>
    <t>Projekti eeldatav eluiga</t>
  </si>
  <si>
    <t>aasta</t>
  </si>
  <si>
    <t>Lennukitüüp</t>
  </si>
  <si>
    <t>Käesolev arvutusmudel võtab arvesse eelkõige olmejäätmete kogumise/veoga seotud KHG heidet (kuni esmase käitluskohani).</t>
  </si>
  <si>
    <t>Ainult segaolmejäätmete puhul võetakse arvesse nende jäätmete lõppkäitlemisel (põletamine või prügilasse ladestamine) tekkinud KHG heidet.</t>
  </si>
  <si>
    <t>Laevatüüp</t>
  </si>
  <si>
    <t>Selleks võib kasutada järgmisi koefitsiente:</t>
  </si>
  <si>
    <t>Sõiduauto, keskmise suurusega (bensiin)</t>
  </si>
  <si>
    <t>Sõiduauto, keskmise suurusega (biodiisel FAME)</t>
  </si>
  <si>
    <t>Sõiduauto, keskmise suurusega (biodiisel HVO)</t>
  </si>
  <si>
    <t>Sõiduauto, keskmise suurusega (diisel)</t>
  </si>
  <si>
    <t>Sõiduauto, suur (bensiin)</t>
  </si>
  <si>
    <t>Sõiduauto, suur (biodiisel FAME)</t>
  </si>
  <si>
    <t>Sõiduauto, suur (biodiisel HVO)</t>
  </si>
  <si>
    <t>Sõiduauto, suur (diisel)</t>
  </si>
  <si>
    <t>Sõiduauto, väike (bensiin)</t>
  </si>
  <si>
    <t>Sõiduauto, väike (biodiisel FAME)</t>
  </si>
  <si>
    <t>Sõiduauto, väike (biodiisel HVO)</t>
  </si>
  <si>
    <t>Sõiduauto, väike (diisel)</t>
  </si>
  <si>
    <t>Sõiduauto, keskmise suurusega (hübriid: bensiin/elekter)</t>
  </si>
  <si>
    <t>Sõiduauto, suur (hübriid: bensiin/elekter)</t>
  </si>
  <si>
    <t>Sõiduauto, väike (hübriid: bensiin/elekter)</t>
  </si>
  <si>
    <t>Takso, keskmine</t>
  </si>
  <si>
    <t>Rong, Eesti linnalähirong (elektrirong)</t>
  </si>
  <si>
    <t>Rong, Eesti-sisene kaugliin (diiselrong)</t>
  </si>
  <si>
    <t>Lennuk, Euroopa-sisene lend (kuni 3700 km), keskmine</t>
  </si>
  <si>
    <t>Lennuk, Euroopa-sisene lend (kuni 3700 km), tava-/turistiklass</t>
  </si>
  <si>
    <t>Lennuk, Euroopa-sisene lend (kuni 3700 km), äriklass</t>
  </si>
  <si>
    <t>Lennuk, riigisisene lend, tava-/turistiklass</t>
  </si>
  <si>
    <t>Lennuk, lend väljapoole Euroopat (üle 3700 km), esimene klass</t>
  </si>
  <si>
    <t>Lennuk, lend väljapoole Euroopat (üle 3700 km), keskmine</t>
  </si>
  <si>
    <t>Buss, linnaliin (Eesti)</t>
  </si>
  <si>
    <t>Buss, maakondlik liin (Eesti)</t>
  </si>
  <si>
    <t>Buss, kaugliin (Eesti ja rahvusvaheline)</t>
  </si>
  <si>
    <t>Buss, kohalik liin (muud riigid)</t>
  </si>
  <si>
    <t>Lennuk, lend väljapoole Euroopat (üle 3700 km), tava-/turistiklass</t>
  </si>
  <si>
    <t>Lennuk, lend väljapoole Euroopat (üle 3700 km), äriklass</t>
  </si>
  <si>
    <t>Parvlaev, reisi-kaubalaev (nt Tallinn-Helsingi/Stockholm)</t>
  </si>
  <si>
    <t>Tramm, troll (Eesti)</t>
  </si>
  <si>
    <t>Tramm, metroo (muud riigid, elektri allikas pole teada)</t>
  </si>
  <si>
    <t>Tramm, metroo (muud riigid, taastuvelekter)</t>
  </si>
  <si>
    <t>Rong (muud riigid, taastuvelekter)</t>
  </si>
  <si>
    <t>Elektrijalgratas/-tõukeratas (tavaelekter)</t>
  </si>
  <si>
    <t>Elektrijalgratas/-tõukeratas, sh sõidujagamisplatvormidelt (taastuvelekter)</t>
  </si>
  <si>
    <t>Sõidukitüüp</t>
  </si>
  <si>
    <t>Buss, maakondlik liin</t>
  </si>
  <si>
    <t>Rong, linnalähirong (elektrirong)</t>
  </si>
  <si>
    <t>Buss, linnaliin</t>
  </si>
  <si>
    <t>Rong, diiselrong</t>
  </si>
  <si>
    <t>Põlevkivi (kWh)</t>
  </si>
  <si>
    <t>Surubiometaan (bio-CNG) (keskmistatud)</t>
  </si>
  <si>
    <t>Ro-ro/ro-pax laev (valdav osa Eesti ja Põhjamaade vahel sõitvatest laevadest) (kuni 2000 LM)</t>
  </si>
  <si>
    <t>Sõiduauto (taastuvelekter)</t>
  </si>
  <si>
    <t>Mootorratas 4-taktiline &lt;250 cm³ (bensiin)</t>
  </si>
  <si>
    <t>Mootorratas 4-taktiline &gt;750 cm³ (bensiin)</t>
  </si>
  <si>
    <t>Mootorratas 4-taktiline 250–750 cm³ (bensiin)</t>
  </si>
  <si>
    <t>Elering, 2022</t>
  </si>
  <si>
    <t>Elering 2022. Elektrienergia segajäägi eriheide 2021</t>
  </si>
  <si>
    <t>Biomass (nt puiduhake, saepuru) (kg)</t>
  </si>
  <si>
    <t>Biomass (nt puiduhake, saepuru) (kWh)</t>
  </si>
  <si>
    <t>Kaugküte - biomass (nt puiduhake, saepuru)</t>
  </si>
  <si>
    <t>Kaubik (bensiin), tonn-km</t>
  </si>
  <si>
    <t>Kaubik (bensiin), km</t>
  </si>
  <si>
    <t>Kaubik (diisel), tonn-km</t>
  </si>
  <si>
    <t>Kaubik (biodiisel HVO), tonn-km</t>
  </si>
  <si>
    <t>Kaubik (biodiisel FAME), tonn-km</t>
  </si>
  <si>
    <t>Kaubik (taastuvelekter), tonn-km</t>
  </si>
  <si>
    <t>Kaubik (tavaelekter), tonn-km</t>
  </si>
  <si>
    <t>Kaubik (diisel), km</t>
  </si>
  <si>
    <t>Kaubik (biodiisel HVO), km</t>
  </si>
  <si>
    <t>Kaubik (biodiisel FAME), km</t>
  </si>
  <si>
    <t>Kaubik (taastuvelekter), km</t>
  </si>
  <si>
    <t>Kaubik (tavaelekter), km</t>
  </si>
  <si>
    <t>Kaubiku kütus ja transpordi ühik</t>
  </si>
  <si>
    <t>Mudeli eriheitetegur - keskmine km kohta</t>
  </si>
  <si>
    <t>Väike (&lt;7,5 t), diisel, tonn-km</t>
  </si>
  <si>
    <t>Väike (&lt;7,5 t), diisel, km</t>
  </si>
  <si>
    <t>Väike (&lt;7,5 t), biodiisel (HVO), tonn-km</t>
  </si>
  <si>
    <t>Väike (&lt;7,5 t), biodiisel (HVO), km</t>
  </si>
  <si>
    <t>Väike (&lt;7,5 t), biodiisel (FAME), tonn-km</t>
  </si>
  <si>
    <t>Väike (&lt;7,5 t), biodiisel (FAME), km</t>
  </si>
  <si>
    <t>Suur (&gt;20 t), biodiisel (FAME), tonn-km</t>
  </si>
  <si>
    <t>Suur (&gt;20 t), biodiisel (FAME), km</t>
  </si>
  <si>
    <t>Suur (&gt;20 t), biodiisel (HVO), tonn-km</t>
  </si>
  <si>
    <t>Suur (&gt;20 t), biodiisel (HVO), km</t>
  </si>
  <si>
    <t>Suur (&gt;20 t), diisel, tonn-km</t>
  </si>
  <si>
    <t>Suur (&gt;20 t), diisel, km</t>
  </si>
  <si>
    <t>Keskmine (7,5 t–20 t), diisel, tonn-km</t>
  </si>
  <si>
    <t>Keskmine (7,5 t–20 t), diisel, km</t>
  </si>
  <si>
    <t>Keskmine (7,5 t–20 t), biodiisel (HVO), tonn-km</t>
  </si>
  <si>
    <t>Keskmine (7,5 t–20 t), biodiisel (HVO), km</t>
  </si>
  <si>
    <t>Keskmine (7,5 t–20 t), biodiisel (FAME), tonn-km</t>
  </si>
  <si>
    <t>Keskmine (7,5 t–20 t), biodiisel (FAME), km</t>
  </si>
  <si>
    <t>Diiselveduriga kaubarong (keskmine, Balti riigid + Venemaa)</t>
  </si>
  <si>
    <t>Kaubarong (keskmine, muu Euroopa)</t>
  </si>
  <si>
    <t>(sisaldab lennutranspordist tulenevat kaudset heidet)</t>
  </si>
  <si>
    <t>TÖÖREISIDEST TULENEV KHG HEIDE KOKKU</t>
  </si>
  <si>
    <t>Rong (muud riigid, sh rahvusvaheline rong, elektriallikas pole teada)</t>
  </si>
  <si>
    <t>MÕJUALA 3: OSTETUD TOOTED</t>
  </si>
  <si>
    <t>MÕJUALA 3: MÜÜDUD TOOTED</t>
  </si>
  <si>
    <t>https://elering.ee/segajaak</t>
  </si>
  <si>
    <t>Sisseostetud soojusenergia pärineb üldjuhul lokaalsest katlamajast või kaugkütte süsteemist.</t>
  </si>
  <si>
    <t>TÖÖLE-KOJU LIIKUMISEST TULENEV KHG HEIDE KOKKU</t>
  </si>
  <si>
    <t>Segaolmejäätmed, põletamine</t>
  </si>
  <si>
    <t>Segaolmejäätmed, prügilasse ladestamine</t>
  </si>
  <si>
    <t>Segaolmejäätmed, lõppkäitlusviis pole teada</t>
  </si>
  <si>
    <t>Eeldused: jäätmeveoki kütusekulu 0,39 l/km, kogumisringi pikkus keskmiselt 250 km, keskmine koorma kaal 9 t, raskeveoki (diisel) eriheitetegur - KHG inventuuri aruanne 2022</t>
  </si>
  <si>
    <t>tonni</t>
  </si>
  <si>
    <t xml:space="preserve">Liigiti kogutud biojäätmed: </t>
  </si>
  <si>
    <t xml:space="preserve">Segaolmejäätmed: </t>
  </si>
  <si>
    <t>Liigiti kogutud paber ja kartong:</t>
  </si>
  <si>
    <t>Liigiti kogutud klaaspakend:</t>
  </si>
  <si>
    <t>Liigiti kogutud segapakend:</t>
  </si>
  <si>
    <t>Paber</t>
  </si>
  <si>
    <t>Puhastusteenus</t>
  </si>
  <si>
    <t>Ostetud tooted</t>
  </si>
  <si>
    <t>Müüdud tooted</t>
  </si>
  <si>
    <t>Üksus 1</t>
  </si>
  <si>
    <t>Üksus 2</t>
  </si>
  <si>
    <t>Üksus 3</t>
  </si>
  <si>
    <t>kg CO₂ ekv/kg</t>
  </si>
  <si>
    <t>kg CO₂ ekv/€</t>
  </si>
  <si>
    <t>M2-Ostetud elektrienergia</t>
  </si>
  <si>
    <t>M2-Ostetud soojusenergia</t>
  </si>
  <si>
    <t>Ostetud elektrienergia tootmisest tulenev KHG heide</t>
  </si>
  <si>
    <t>Ostetud soojusenergia tootmisest tulenev KHG heide</t>
  </si>
  <si>
    <t>M3-Ostetud tooted</t>
  </si>
  <si>
    <t>M3-Müüdud tooted</t>
  </si>
  <si>
    <t>Ostetud kaupadest ja teenustest tulenev KHG heide</t>
  </si>
  <si>
    <t>Müüdud kaupadest ja teenustest tulenev KHG heide</t>
  </si>
  <si>
    <t>MÕJUALA 2: OSTETUD ELEKTRIENERGIA</t>
  </si>
  <si>
    <t>SISSEOSTETUD SOOJUSENERGIA TOOTMISEST TULENEV KHG HEIDE</t>
  </si>
  <si>
    <t>SISSEOSTETUD ELEKTRIENERGIA TOOTMISEST TULENEV KHG HEIDE</t>
  </si>
  <si>
    <t>MÕJUALA 2: OSTETUD SOOJUSENERGIA</t>
  </si>
  <si>
    <t>KHG HEIDE KOKKU</t>
  </si>
  <si>
    <t>ORGANISATSIOON</t>
  </si>
  <si>
    <t>ÜKSUS 1</t>
  </si>
  <si>
    <t>ÜKSUS 2</t>
  </si>
  <si>
    <t>ÜKSUS 3</t>
  </si>
  <si>
    <t>Transporditeenuse tonn-km või km kokku</t>
  </si>
  <si>
    <t>Suur (&gt;32 t), biodiisel (FAME), km</t>
  </si>
  <si>
    <t>Suur (&gt;32 t), biodiisel (FAME), tonn-km</t>
  </si>
  <si>
    <t>Keskmine (&gt;3,5–32 t), biodiisel (FAME), tonn-km</t>
  </si>
  <si>
    <t>Keskmine (&gt;3,5–32 t), biodiisel (FAME), km</t>
  </si>
  <si>
    <t>Keskmine (&gt;3,5–32 t), biodiisel (HVO), km</t>
  </si>
  <si>
    <t>Keskmine (&gt;3,5–32 t), biodiisel (HVO), tonn-km</t>
  </si>
  <si>
    <t>Suur (&gt;32 t), biodiisel (HVO), km</t>
  </si>
  <si>
    <t>Suur (&gt;32 t), biodiisel (HVO), tonn-km</t>
  </si>
  <si>
    <t>Keskmine (&gt;3,5–32 t), diisel, km</t>
  </si>
  <si>
    <t>Keskmine (&gt;3,5–32 t), diisel, tonn-km</t>
  </si>
  <si>
    <t>Suur (&gt;32 t), diisel, km</t>
  </si>
  <si>
    <t>Suur (&gt;32 t), diisel, tonn-km</t>
  </si>
  <si>
    <t xml:space="preserve">Jäiga kerega veoauto: suurus (täismass), kütus ja transpordi ühik </t>
  </si>
  <si>
    <t>Suurus teadmata, biodiisel (FAME), km</t>
  </si>
  <si>
    <t>Suurus teadmata, biodiisel (FAME), tonn-km</t>
  </si>
  <si>
    <t>Suurus teadmata, biodiisel (HVO), km</t>
  </si>
  <si>
    <t>Suurus teadmata, biodiisel (HVO), tonn-km</t>
  </si>
  <si>
    <t>Suurus teadmata, diisel, km</t>
  </si>
  <si>
    <t>Suurus teadmata, diisel, tonn-km</t>
  </si>
  <si>
    <t>KAUBIK</t>
  </si>
  <si>
    <t>1A. SISSEOSTETUD MAANTEETRANSPORDIST TULENEV KHG HEIDE</t>
  </si>
  <si>
    <t>JÄIGA KEREGA VEOAUTO</t>
  </si>
  <si>
    <t>1B. SISSEOSTETUD MAANTEETRANSPORDIST TULENEV KHG HEIDE</t>
  </si>
  <si>
    <t>1C. SISSEOSTETUD MAANTEETRANSPORDIST TULENEV KHG HEIDE</t>
  </si>
  <si>
    <t>2. SISSEOSTETUD RAUDTEETRANSPORDIST TULENEV KHG HEIDE</t>
  </si>
  <si>
    <t xml:space="preserve">1. TÖÖREISIDEST TULENEV KHG HEIDE ARVUTATUNA LÄBITUD VAHEMAA (KM) PÕHJAL </t>
  </si>
  <si>
    <t>1. KHG HEIDE ARVUTATUD KÜTUSELIIGI JA TARBITUD KÜTUSE KOGUSE PÕHJAL</t>
  </si>
  <si>
    <t>3. KHG HEIDE ARVUTATUD SÕIDUAUTO TÜÜBI, KÜTUSELIIGI JA LÄBISÕIDU ALUSEL</t>
  </si>
  <si>
    <t>LIIGENDVEOAUTO</t>
  </si>
  <si>
    <t xml:space="preserve">Liigendveoauto: suurus (täismass), kütus ja transpordi ühik </t>
  </si>
  <si>
    <t>RONG</t>
  </si>
  <si>
    <t>LENNUK</t>
  </si>
  <si>
    <t>3. SISSEOSTETUD LENNUTRANSPORDIST TULENEV KHG HEIDE</t>
  </si>
  <si>
    <t>LAEV</t>
  </si>
  <si>
    <t>4. SISSEOSTETUD LAEVATRANSPORDIST TULENEV KHG HEIDE</t>
  </si>
  <si>
    <t>Veoauto tüüp ja suurus teadmata, biodiisel (FAME), km</t>
  </si>
  <si>
    <t>Veoauto tüüp ja suurus teadmata, biodiisel (FAME), tonn-km</t>
  </si>
  <si>
    <t>Veoauto tüüp ja suurus teadmata, biodiisel (HVO), km</t>
  </si>
  <si>
    <t>Veoauto tüüp ja suurus teadmata, biodiisel (HVO), tonn-km</t>
  </si>
  <si>
    <t>Veoauto tüüp ja suurus teadmata, diisel, km</t>
  </si>
  <si>
    <t>Veoauto tüüp ja suurus teadmata, diisel, tonn-km</t>
  </si>
  <si>
    <t>Kaubik (kütuseliik pole teada), tonn-km</t>
  </si>
  <si>
    <t>Kaubik (kütuseliik pole teada), km</t>
  </si>
  <si>
    <t xml:space="preserve"> ̶  fluorosüsivesinikud (HFC-d)</t>
  </si>
  <si>
    <t xml:space="preserve"> ̶  perfluorosüsivesinikud (PFC-d)</t>
  </si>
  <si>
    <t>VEOAUTO TÜÜP JA SUURUS POLE TEADA</t>
  </si>
  <si>
    <t>Veoauto tüüp ja suurus teadmata, kütus ja transpordi ühik</t>
  </si>
  <si>
    <t>ORGANISATSIOONI ENDA ENERGIA TOOTMISEGA SEOTUD KHG HEIDE</t>
  </si>
  <si>
    <t>Kivisüsi (kWh)</t>
  </si>
  <si>
    <t>Kivisüsi (kg)</t>
  </si>
  <si>
    <t>Maagaas (kWh)</t>
  </si>
  <si>
    <t>Veesõiduk, laevakütus</t>
  </si>
  <si>
    <t>Õhusõiduk, lennukibensiin AVGAS 100LL</t>
  </si>
  <si>
    <t xml:space="preserve">Õhusõiduk, petrooli tüüpi reaktiivkütus </t>
  </si>
  <si>
    <t xml:space="preserve">Tarbitud sõidukikütuse aastane arvestuse pidamine on tavaliselt organisatsioonides kõige enam levinud.  </t>
  </si>
  <si>
    <t>Maanteesõiduki bensiin</t>
  </si>
  <si>
    <t>Maanteesõiduki biodiisel (FAME)</t>
  </si>
  <si>
    <t>Maanteesõiduki biodiisel (HVO)</t>
  </si>
  <si>
    <t>Maanteesõiduki biodiisel (ME)</t>
  </si>
  <si>
    <t>Maanteesõiduki diisel</t>
  </si>
  <si>
    <t>Maanteesõiduki surubiometaan (bio-CNG)</t>
  </si>
  <si>
    <t>Maanteesõiduki surumaagaas (CNG)</t>
  </si>
  <si>
    <t>Maanteesõiduki veeldatud naftagaas (LPG)</t>
  </si>
  <si>
    <t xml:space="preserve">2. KHG HEIDE ARVUTATUD KÜTUSELIIGI, MAANTESÕIDUKI TÜÜBI JA TARBITUD KÜTUSE KOGUSE ALUSEL </t>
  </si>
  <si>
    <t>Üldjuhul saab seda hinnata selle kaudu, kui palju tuleb igal aastal seadmetesse/süsteemidesse F-gaase lisada.</t>
  </si>
  <si>
    <t>Elektritootmisest tulenev KHG jalajälg sõltub energiaallikast: taastuv/süsinikuneutraalne (nt tuul, päike, biomass, tuumaenergia) või taastumatu/fossiilne (nt põlevkivi, kivisüsi, maagaas).</t>
  </si>
  <si>
    <t xml:space="preserve">KHG heitkoguse arvutamise täpsuse seisukohast on eelistatum kasutada kaubaveo vahemaa alusel tehtud arvutusi. </t>
  </si>
  <si>
    <t>Käesolev arvutusmudel pakub võimaluse transporditeenustest tuleneva KHG heitkoguse arvutamiseks nii kaubaveo vahemaa (km) kui ka kaubakoguse (tonn-km) alusel.</t>
  </si>
  <si>
    <t>Kaubiku puhul on võimalik KHG heidet arvutada nii kaubaveo vahemaa (kasutada juhul kui kaubik veab valdavalt ainult teie organisatsiooni kaupa) kui transporditud tonn-kilomeetri (kasutada juhul kui kaubik transpordib samal ajal eelduslikult ka teiste organisatsioonide kaupa).</t>
  </si>
  <si>
    <t>1D. SISSEOSTETUD MAANTEETRANSPORDIST TULENEV KHG HEIDE</t>
  </si>
  <si>
    <t xml:space="preserve">Seega tuleb sisseostetud transporditeenusega seotud KHG heitkoguse arvutamiseks esmalt kokku koguda vajalikud alusandmed. </t>
  </si>
  <si>
    <t>2. TÖÖREISIDEST TULENEV KHG HEIDE</t>
  </si>
  <si>
    <t>Käesoleva mudeli puhul on eeldatud, et organisatsioon sisestab asjakohastesse arvutustabelitesse juba eelnevalt kokku kogutud arvestusaasta koondandmed.</t>
  </si>
  <si>
    <t>Mudel võimaldab kogutud olmejäätmed liigitada järgmiste peamiste liikidena:</t>
  </si>
  <si>
    <t xml:space="preserve"> ̶  Liigiti kogutud biojäätmed</t>
  </si>
  <si>
    <t xml:space="preserve"> ̶  Liigiti kogutud paber ja kartong</t>
  </si>
  <si>
    <t xml:space="preserve"> ̶  Liigiti kogutud klaaspakend</t>
  </si>
  <si>
    <t xml:space="preserve"> ̶  Liigiti kogutud segapakend</t>
  </si>
  <si>
    <t>Suurem osa organisatsioone annab tekkinud olmejäätmeid üle jäätmekäitlejale mahu põhiselt.</t>
  </si>
  <si>
    <t>1. TÖÖLE-KOJU LIIKUMINE</t>
  </si>
  <si>
    <t>2. TÖÖLE-KOJU LIIKUMINE</t>
  </si>
  <si>
    <t xml:space="preserve"> ̶  Organisatsiooni personali tööle-koju liikumistest tulenev kaudne KHG heide (M3-Tööle-koju)</t>
  </si>
  <si>
    <t xml:space="preserve"> ̶  Ostetud ja müüdud toodetest (n-ö sissetarne ja väljatarne) tulenev kaudne KHG heide (M3-Ostetud tooted ja M3-Müüdud tooted)</t>
  </si>
  <si>
    <t>KHG jalajälje hindamisse tuleks haarata kõik olulise kliimamõjuga tegevused/heiteallikad mõjualadest 1, 2 ja 3. Vaata juhiseid mõjualade ja tegevuskategooriate valimiseks KHG jalajälje hindamise juhendis.</t>
  </si>
  <si>
    <t>M3 - Müüdud tooted</t>
  </si>
  <si>
    <t>M3 - Ostetud tooted</t>
  </si>
  <si>
    <t xml:space="preserve">Veerus 'Kütuse-/energialiik' valida rippmenüüst asjakohane kütuse-/energialiik ja energia arvestamise ühik (nt maagaas, l või maagaas, kWh) ning sisestada organisatsiooni toodetud aastane kütuse/energia kogus. </t>
  </si>
  <si>
    <t>Biometaan (mᶟ)</t>
  </si>
  <si>
    <t>1. Energia tootmiseks kasutatud kütuseliigid</t>
  </si>
  <si>
    <t>Kui organisatsiooni üksuste lõikes peetakse eraldi arvestust, siis KHG heide üksuste kaupa on toodud eraldi allolevas koondtabelis.</t>
  </si>
  <si>
    <t xml:space="preserve">Sellisel juhul tuleks alloleva tabeli 3 päisesse sisestada vastav näitaja ning vastava aasta näitaja tulemus arvuliselt. Minimaalselt võiks sisestada töötajate koguarvu. </t>
  </si>
  <si>
    <t>Vaata ka suhteliste näitajate määramise juhised KHG jalajälje hindamise juhendis.</t>
  </si>
  <si>
    <t>Kui organisatsioon üksuste kaupa KHG jalajälge hinnata ei soovi, siis jäetakse järgnevates tabelites veerg 'Üksuse nr' tühjaks.</t>
  </si>
  <si>
    <t xml:space="preserve">Organisatsiooni enda toodetud energia alla arvestatakse otsene KHG heide, mis pärineb energiatootmisest (elekter, soojus, aur jms). </t>
  </si>
  <si>
    <t>Arvesse võetakse need energiatootmise seadmed või tegevused, mida organisatsioon omab või mille käitamist ta kontrollib.</t>
  </si>
  <si>
    <t xml:space="preserve">Kütuste põletamisel energiatootmise seadmetes (nt katlad, generaatorid jm) eraldub atmosfääri kasvuhoonegaase. </t>
  </si>
  <si>
    <t>Arvutusmudel lubab organisatsiooni energiatootmisega seotud KHG heite arvutamiseks kasutada kas tarbitud kütuse kogust (väljendatuna kilogrammides, liitrites või kuupmeetrites) või toodetud energia kogust (kWh).</t>
  </si>
  <si>
    <t>Organisatsiooni poolt määratletud aruandlusaastatele vastavad tabelid on toodud üksteise kõrval (liigu paremale).</t>
  </si>
  <si>
    <t>Kui soovitakse kasutada enda eriheitetegurit, siis valida veerus 'Kas kasutate arvutusmudeli eriheitetegurit?' rippmenüüst 'Ei' ning sisestada veergu 'Muu eriheitetegur' vastav tegur.</t>
  </si>
  <si>
    <t>Vajalikud andmed ja arvutusjuhised:</t>
  </si>
  <si>
    <t>Bensiin, suur (üle 2,0 liitrine)</t>
  </si>
  <si>
    <t>Bensiin, väike (kuni 1,4 liitrine bensiinimootor)</t>
  </si>
  <si>
    <t>Diisel, suur (üle 2,0 liitrine)</t>
  </si>
  <si>
    <t>Diisel, väike (kuni 1,7-liitrine diiselmootor)</t>
  </si>
  <si>
    <t>Kütus ja sõiduauto tüüp teadmata</t>
  </si>
  <si>
    <t>Bensiin, keskmise suurusega (1,4–2,0 liitrine)</t>
  </si>
  <si>
    <t>Bensiin, suurus teadmata</t>
  </si>
  <si>
    <t>Bensiin või diisel, suurus teadmata</t>
  </si>
  <si>
    <t>Diisel, suurus teadmata</t>
  </si>
  <si>
    <t>Diisel, keskmise suurusega (1,7–2,0-liitrine)</t>
  </si>
  <si>
    <t>Hübriid (bensiin/elekter), 1,4–2,0-liitrise bensiinimootoriga</t>
  </si>
  <si>
    <t>Hübriid (bensiin/elekter), kuni 1,4-liitrise bensiinimootoriga</t>
  </si>
  <si>
    <t>Hübriid (bensiin/elekter), suurus teadmata</t>
  </si>
  <si>
    <t>Hübriid (bensiin/elekter), üle 2,0-liitrise bensiinimootoriga</t>
  </si>
  <si>
    <t xml:space="preserve">Kütuste (nt bensiin, diisel, maagaas) kasutamisel sõidukimootoris eraldub atmosfääri kasvuhoonegaase. </t>
  </si>
  <si>
    <t>Globaalse soojenemise potentsiaal (GSP)</t>
  </si>
  <si>
    <t>Maagaas (mᶟ)</t>
  </si>
  <si>
    <t>KHG HEIDE KOKKU (v.a biogeenne heide)</t>
  </si>
  <si>
    <t>Kerge kütteõli (kg)</t>
  </si>
  <si>
    <t>Põlevkiviõli kerge fraktsioon (kg)</t>
  </si>
  <si>
    <t>Põlevkiviõli raske fraktsioon (kg)</t>
  </si>
  <si>
    <t>Raske kütteõli (kg)</t>
  </si>
  <si>
    <t>Sõiduauto, suurus teadmata (bensiin)</t>
  </si>
  <si>
    <t>Sõiduauto, suurus teadmata (bensiin või diisel)</t>
  </si>
  <si>
    <t>Sõiduauto, suurus teadmata (biodiisel FAME)</t>
  </si>
  <si>
    <t>Sõiduauto, suurus teadmata (biodiisel HVO)</t>
  </si>
  <si>
    <t>Sõiduauto, suurus teadmata (diisel)</t>
  </si>
  <si>
    <t>Sõiduauto, suurus teadmata (hübriid: bensiin/elekter)</t>
  </si>
  <si>
    <t>Sõiduauto, suurus ja kütus teadmata</t>
  </si>
  <si>
    <t>Sõiduauto (bio-CNG)</t>
  </si>
  <si>
    <t>Sõiduauto (maagaas CNG)</t>
  </si>
  <si>
    <t>Sõiduauto (veeldatud naftagaas LPG)</t>
  </si>
  <si>
    <t xml:space="preserve">Käesolev KHG arvutusmudel on koostatud universaalsena (võimaldamaks selle kasutamist võimalikult paljude organisatsioonide ja ettevõtete poolt) ning hõlmab </t>
  </si>
  <si>
    <t>seetõttu KHG hindamise kolme mõjuala (M1, M2 ja M3) peamisi ja enamkasutatavaid tegevuskategooriaid/heiteallikaid:</t>
  </si>
  <si>
    <t>tegevustest/heiteallikatest pärinevaid KHG heiteid:</t>
  </si>
  <si>
    <t>organisatsiooni vastavat tüüpi sõidukites tarbitud aastane kütuse kogus.</t>
  </si>
  <si>
    <t xml:space="preserve">3. Arvestuse pidamine sõidukite läbisõidu põhjal (sõiduautod). </t>
  </si>
  <si>
    <t xml:space="preserve">2. Arvestuse pidamine kütuseliigi ja konkreetse maanteesõiduki tüübi alusel arvestades kütuse kogust. </t>
  </si>
  <si>
    <t xml:space="preserve">1. Arvestuse pidamine kütuseliigi ja tarbitud kütuse koguse põhjal. </t>
  </si>
  <si>
    <t xml:space="preserve">Siin on võimalik eraldi arvestust pidada maanteesõidukite, veesõidukite ja õhusõidukite enamlevinud kütuseliikide lõikes. Samuti on toodud rongidiisli kasutamise võimalus.  </t>
  </si>
  <si>
    <t xml:space="preserve">Kui soovitakse kasutada mudeli pakutud eriheitetegureid, siis tuleks kõikides tabelites veerus 'Kas kasutate arvutusmudeli eriheitetegurit' jätta valik 'Jah' muutmata. </t>
  </si>
  <si>
    <t>F-gaaside panust kliimamõjusse väljendatakse/arvutatakse nende gaaside globaalse soojendamise potentsiaali (GSP) alusel.</t>
  </si>
  <si>
    <t>F-gaaside põhjustatud KHG jalajälje arvutamise andmed (gaasitüüp ja kogus) saab enamasti seadmete hooldusettevõttelt (või FOKA registrist).</t>
  </si>
  <si>
    <t>(GSP)</t>
  </si>
  <si>
    <t xml:space="preserve">Allolevasse tabelisse tuleb sisestada kasutatavate F-gaaside tüübid ja aastased seadmetesse/süsteemidesse täiendavalt lisatud vastavate F-gaaside kogused </t>
  </si>
  <si>
    <t>(mitte arvestada seadmete esmatäitmise või muid F-gaasi täitmise/lisamise juhte, kui tegu pole nende gaaside kasutamisel tekkinud lekke kompenseerimisega).</t>
  </si>
  <si>
    <t>Kui tarbitud sõidukikütuste arvestust peetakse ka organisatsiooni üksuste kaupa, siis nende KHG heide on toodud eraldi allolevas koondtabelis.</t>
  </si>
  <si>
    <t>Kui hajusheitmete arvestust peetakse ka organisatsiooni üksuste kaupa, siis nende KHG heide on toodud eraldi allolevas koondtabelis.</t>
  </si>
  <si>
    <t>Organisatsiooni poolt määratletud aruandlusaastate vastavad tabelid on toodud üksteise kõrval (liigu paremale).</t>
  </si>
  <si>
    <t xml:space="preserve">Organisatsiooni omanduses või kasutuses olevates kütte-, ventilatsiooni- ja kliimaseadmetes, külmikutes jm kasutatavate külmutusagensite/-ainete hajusad heited. </t>
  </si>
  <si>
    <t xml:space="preserve">Käesolev arvutusmudel kasutab elektrienergia KHG hindamisel (sh tarbitud elektrienergia eriheitetegurite määratlemisel) n-ö turupõhist lähenemist, </t>
  </si>
  <si>
    <t>Kui soovitakse kasutada enda eriheitetegurit, siis valida veerus 'Kas kasutate arvutusmudeli eriheitetegurit?' 'Ei' ning sisestada veergu 'Muu eriheitetegur' vastav eriheiteteguri väärtus (kWh kohta).</t>
  </si>
  <si>
    <t xml:space="preserve">Kui soovitakse kasutada mudeli pakutud eriheitetegureid, siis tuleb veerus 'Kas kasutate arvutusmudeli eriheitetegurit?' jätta 'Jah' muutmata. </t>
  </si>
  <si>
    <t>Kui ostetud elektrienergia kohta peetakse arvestust ka organisatsiooni üksuste kaupa, siis nende KHG heide on toodud eraldi allolevas koondtabelis.</t>
  </si>
  <si>
    <t>Organisatsiooni poolt ostetud soojusenergia (nt küte, aur) tootmisest tulenev kaudne KHG heide. Siin võib arvutada ka muu sisseostetud energiaga (nt jahutus) seotud KHG heitkogust.</t>
  </si>
  <si>
    <t>Kui soovitakse kasutada mudeli pakutud eriheitetegureid, siis tuleb veerus 'Kas kasutate arvutusmudeli eriheitetegurit?' jätta 'Jah' muutmata.</t>
  </si>
  <si>
    <t>Kui ostetud soojusenergia kohta peetakse arvestust organisatsiooni üksuste kaupa, siis nende KHG heide on toodud eraldi allolevas koondtabelis.</t>
  </si>
  <si>
    <t>Organisatsiooni enda sõidukite KHG jalajälge arvestatakse mõjuala 1 all.</t>
  </si>
  <si>
    <t>Organisatsiooni kaupade ja inimeste vedamiseks sisseostetud transpordist tulenev kaudne KHG heide.</t>
  </si>
  <si>
    <t>Sisseostetud transporditeenust pakutakse üldjuhul kas maanteesõidukite, rongi, lennukite või laevadega (kas eraldiseisvalt või nende transpordivahendite kombinatsioonina).</t>
  </si>
  <si>
    <t>Üldjuhul on võimalik kaupade transpordi puhul pidada arvestust transpordivahendi liigi ja kaubaveo vahemaa üle. Sellist arvestuse pidamist on võimalik pidada eelkõige maanteetranspordi puhul, kus organisatsiooni kaupa veetakse konkreetse sõidukiga.</t>
  </si>
  <si>
    <t xml:space="preserve">Teiseks võimaluseks on pidada arvestust kauba koguse ja kaubaveo vahemaa üle (mingi kogus kaupa veetakse teatud transpordivahendiga teatud vahemaa taha). </t>
  </si>
  <si>
    <t xml:space="preserve">Selline lähenemine on üldjuhul asjakohane suuremate transpordivahendite (nt rong, lennuk, laev) puhul, kuna sellisel juhul moodustab organisatsiooni kaup ainult osa transpordivahendi laadungist. </t>
  </si>
  <si>
    <t xml:space="preserve">Tabel 1E: inimeste veoks sisseostetud transporditeenus </t>
  </si>
  <si>
    <t>Kuna nimetatud detailsusega andmeid ei pruugi alati teenusepakkujalt saada (nt millist kütust kaubik kasutas), siis on rippmenüüst võimalik valida ka teadmata kütusega kaubik.</t>
  </si>
  <si>
    <t xml:space="preserve">Ka jäiga kerega veoauto puhul on võimalik KHG heidet arvutada nii kaubaveo vahemaa kui transporditud kauba tonn-kilomeetri alusel. </t>
  </si>
  <si>
    <t>Lisaks on tonn-kilomeetri alusel arvutamisel võimalik arvesse võtta seda, kas veo puhul on koorem/koormad arvestatavad täiskoormatena või pigem osalise koorma täituvusega.</t>
  </si>
  <si>
    <t xml:space="preserve">Ka liigendkerega veoauto puhul on võimalik KHG heidet arvutada nii kaubaveo vahemaa kui transporditud kauba tonn-kilomeetri alusel. </t>
  </si>
  <si>
    <t>Kuna nii rongi, lennuki kui ka laevaga veetakse tavaliselt koos mitme organisatsiooni kaupa, siis nendel puhkudel toimub KHG arvutamine tonn-kilomeetri transpordiühiku alusel.</t>
  </si>
  <si>
    <t xml:space="preserve">Kui soovitakse kasutada mudeli pakutud eriheitetegureid, siis jätta veerus 'Kas kasutate arvutusmudeli eriheitetegurit?' 'Jah' muutmata. </t>
  </si>
  <si>
    <t>Kui soovitakse kasutada enda eriheitetegurit, siis valida veerus 'Kas kasutate arvutusmudeli eriheitetegurit?' 'Ei' ning sisestada veergu 'Muu eriheitetegur' vastav eriheiteteguri väärtus.</t>
  </si>
  <si>
    <t>Kui peetakse arvestust organisatsiooni üksuste kaupa, siis nende KHG heide on toodud eraldi allolevas koondtabelis.</t>
  </si>
  <si>
    <t>1E. INIMESTE TRANSPORDIST TULENEV KHG HEIDE</t>
  </si>
  <si>
    <t>Väikebuss</t>
  </si>
  <si>
    <t>Buss</t>
  </si>
  <si>
    <t>Kaubiku bensiini ja diisli keskmine eriheitetegur km kohta</t>
  </si>
  <si>
    <t xml:space="preserve">Üldjuhul toimub tööreiside (sh kasutatud sõidukiliigi ja sõitude vahemaa) arvestus organisatsioonis kehtestatud reeglite ja selleks eraldi välja töötatud andmekogumise süsteemi alusel </t>
  </si>
  <si>
    <t xml:space="preserve">(nt töölähetuste arvestuse/aruandluse süsteemile lisatakse transpordivahendi liigid ja läbitud vahemaad). </t>
  </si>
  <si>
    <t>Mudel pakub võimaluse arvutada tööreisidest tulenevat KHG heitkogust vastavalt peamistele sõidukitüüpidele ja kütuseliigile.</t>
  </si>
  <si>
    <t>Kui mõne nimetatud sõidukiga (sh taksoga) sõidab mitu organisatsiooni töötajat, siis peaks seda kajastama arvestuses ainult üks töötaja.</t>
  </si>
  <si>
    <t>Sellise arvestuse pidamisel tuleks veerus 'Sõidukitüüp ja kütuseliik' rippmenüüst valida asjakohane sõiduk ja kütus ning lisada veergu 'Vahemaa' aasta jooksul töösõitudena läbitud koondvahemaa kilomeetrites.</t>
  </si>
  <si>
    <t xml:space="preserve">See lubab täpsemalt arvutada ühe töötaja poolt töösõitudena tekitatud KHG heite. Selle jaoks tuleks pidada nende sõiduvahendite lõikes sõidetud vahemaa arvestust iga töötaja kohta eraldi. </t>
  </si>
  <si>
    <t>Tabelis valida veerus 'Sõidukitüüp ja kütuseliik' asjakohane transpordivahend ning sisestada veergu 'Vahemaa' kõikide töötajate töölähetuste käigus läbitud aastane koondvahemaa (sõitja-km).</t>
  </si>
  <si>
    <t>Kui tööreiside arvestust peetakse organisatsiooni üksuste kaupa, siis nende KHG heide on toodud eraldi allolevas koondtabelis.</t>
  </si>
  <si>
    <t>Organisatsioon peab esmalt ära määratlema, millised sõiduvahendid ja -viisid moodustavad olulise osa tööreiside KHG jalajäljest ning selle põhjal sisse viima asjakohaste andmete kogumise süsteemi.</t>
  </si>
  <si>
    <t>Organisatsiooni töötajate tööle-koju liikumisest tulenev kaudne KHG heide.</t>
  </si>
  <si>
    <t>Töötajate tööle-koju liikumisest tuleneva KHG heite arvutamine eeldab, et organisatsioonil on piisavalt täpne ülevaade, milliste liikumisvahenditega töötajad tööl käivad.</t>
  </si>
  <si>
    <t xml:space="preserve">Seega peaks organisatsioon koguma andmeid töötajate tööle-koju liikumisvahendite ja -viiside kohta. Samuti tuleb koguda teavet töötajate tööle-koju liikumise vahemaade (kokku aastas) kohta liikumisvahendite lõikes. </t>
  </si>
  <si>
    <t>Selle mudeli puhul on eeldatud, et organisatsioon sisestab asjakohastesse arvutustabelitesse juba eelnevalt kokku kogutud arvestusaasta töötajate tööle-koju liikumisega seotud koondandmed.</t>
  </si>
  <si>
    <t>Mudel pakub võimaluse arvutada tööreisidest tulenevat KHG heitkogust vastavalt peamistele liikumisvahenditele.</t>
  </si>
  <si>
    <t>Tabeli veerus 'Liikumisvahend ja kütuseliik' valida rippmenüüst asjakohane sõiduk/liikumisviis ja kütus ning lisada veergu 'Vahemaa' aasta jooksul töötajate poolt läbitud tööle-koju liikumise koondvahemaa kilomeetrites.</t>
  </si>
  <si>
    <t>See lubab täpsemalt arvutada ühe töötaja poolt tööle-koju sõitudena tekitatud KHG heite.</t>
  </si>
  <si>
    <t xml:space="preserve">Selle jaoks tuleks pidada ühissõidukitega sõidetud vahemaa arvestust (ühissõiduk-töötajate arv-aastas läbitud kilomeetrid). </t>
  </si>
  <si>
    <t>Aasta koondandmed (töötajate poolt aastas läbitud tööle-koju vahemaa vastavalt ühissõidukile) tuleks sisestada arvutustabeli veergu 'Vahemaa'.</t>
  </si>
  <si>
    <t>Kui tööle-koju liikumise kohta peetakse arvestust organisatsiooni üksuste kaupa, siis nende KHG heide on toodud eraldi allolevas koondtabelis.</t>
  </si>
  <si>
    <t>Organisatsiooni olmejäätmete käitlemisega seotud kaudne KHG heide.</t>
  </si>
  <si>
    <t>Organisatsioonis tekitatud olmejäätmete puhul tuleb määratleda, milliste liikidena neid jäätmeid eraldi kogutakse.</t>
  </si>
  <si>
    <t xml:space="preserve"> ̶  Segaolmejäätmed (eraldi on toodud segaolmejäätmete lõppkäitlusviis: masspõletus või prügilasse ladestamine. Kui pole teada, kuhu organisatsiooni segaolmejäätmed liiguvad, siis valida segaolmejäätmete prügilasse ladestamine).</t>
  </si>
  <si>
    <t>Tabelisse sisestada tuleks sisestada ka valitud jäätmeliigi kogus massikaalus (tonni aastas).</t>
  </si>
  <si>
    <t>Kui jäätmekäitlejalt pole võimalik üleanatavate jäätmete massikaale saada, siis tuleks ise üleantavate jäätmete maht teisendada massikaaluks.</t>
  </si>
  <si>
    <t>Massikaalu saab arvutada konteinerite arvu, nende mahu, tühjendamise arvu/tiheduse alusel ning vastavate mahult kaalule teisendamise koefitsientide alusel.</t>
  </si>
  <si>
    <t>Kui jäätmete kohta peetakse arvestust organisatsiooni üksuste kaupa, siis nende KHG heide on toodud eraldi allolevas koondtabelis.</t>
  </si>
  <si>
    <t>Organisatsiooni poolt aruandeaastal ostetud või soetatud toodete tootmisest tekkinud KHG heide. Toodete hulka kuuluvad nii kaubad kui ka teenused.</t>
  </si>
  <si>
    <t>Organisatsiooni poolt aruandeaastal turule pandud toodetest tulenev KHG heide. Toodete hulka kuuluvad nii kaubad kui ka teenused.</t>
  </si>
  <si>
    <t>Kui müüdud tooodete arvestust peetakse organisatsiooni üksuste kaupa, siis nende KHG heide on toodud eraldi allolevas koondtabelis.</t>
  </si>
  <si>
    <t xml:space="preserve">Siia kategooriasse kuuluvad investorite (st äriühingute) ja finantsteenuseid pakkuvate ettevõtete investeeringutega seotud KHG heitkogused aruandeaastal, mis ei ole hõlmatud mõjualas 1 või 2. </t>
  </si>
  <si>
    <t>Kui finantsinvesteeringute arvestust peetakse organisatsiooni üksuste kaupa, siis nende KHG heide on toodud eraldi allolevas koondtabelis.</t>
  </si>
  <si>
    <t>Investeeringu objektiks oleva äriühingu tulu korrutatakse vastava majandussektori EEIO eriheiteteguriga.</t>
  </si>
  <si>
    <t>M3 - SISSEOSTETUD TRANSPORDI ERIHEITETEGURID</t>
  </si>
  <si>
    <t>KHG inventuuri aruanne 2022 (AR4), kütteväärtus keskmiselt 11,9 MJ/kg</t>
  </si>
  <si>
    <t xml:space="preserve"> ̶  Teistelt organisatsioonidelt sisseostetud transporditeenusest tulenev kaudne KHG heide (M3-Transport) </t>
  </si>
  <si>
    <t xml:space="preserve"> ̶   Organisatsiooni ostetud elektrienergia tootmisest tulenev kaudne KHG heide (M2-Ostetud elektrienergia)</t>
  </si>
  <si>
    <t xml:space="preserve"> ̶   Organisatsiooni ostetud soojusenergia tootmisest tulenev kaudne KHG heide (M2-Ostetud soojusenergia)</t>
  </si>
  <si>
    <t>Organisatsiooni kaupade või inimeste vedamiseks sisse ostetud transpordi KHG heide</t>
  </si>
  <si>
    <t>Kauba ja inimeste transpordi eriheitetegurid</t>
  </si>
  <si>
    <t xml:space="preserve">Kui soovitakse kasutada mudelis pakutud eriheitetegurit, siis tuleb veeru 'Kas kasutate arvutusmudeli eriheitetegurit?' vaikeväärtus 'Jah' jätta muutmata. </t>
  </si>
  <si>
    <t>[sisesta siia muu näitaja]</t>
  </si>
  <si>
    <t>LÜHEND</t>
  </si>
  <si>
    <t>VIIDE</t>
  </si>
  <si>
    <t>Mõjuala 1 kokku</t>
  </si>
  <si>
    <t>Mõjuala 2 kokku</t>
  </si>
  <si>
    <t>Mõjuala 3 kokku</t>
  </si>
  <si>
    <t>Mööbel</t>
  </si>
  <si>
    <t>AR väärtused</t>
  </si>
  <si>
    <t>KASVUHOONEGAAS</t>
  </si>
  <si>
    <t xml:space="preserve">Siia arvestatakse üldjuhul ka see energia, mida organisatsioon ise toodab ja edastab/müüb teistele organisatsioonidele. Energia, mille organisatsioon sisse ostab (toodetud teistes organisatsioonides) arvestatakse mõjuala 2 all. </t>
  </si>
  <si>
    <t>Riigihalduse ministri määruse „Energiahinna tõusu leevendusmeede vähemkindlustatud peredele“ seletus 7.01.2022 (kütuse osakaalud 2020) (https://www.fin.ee/media/6631/download), arvestuslik katla kasutegur 80%</t>
  </si>
  <si>
    <t>Kaugküte/lokaalküte</t>
  </si>
  <si>
    <t>Lokaalküte - biomass (puiduhake)</t>
  </si>
  <si>
    <t>Lokaalküte - freesturvas</t>
  </si>
  <si>
    <t xml:space="preserve">Lokaalküte - kerge kütteõli </t>
  </si>
  <si>
    <t>Lokaalküte - maagaas</t>
  </si>
  <si>
    <t>Lokaalküte - põlevkiviõli raske fraktsioon</t>
  </si>
  <si>
    <t>FLUORITUD KASVUHOONEGAASIDE KASUTAMISEST TULENEV KHG HEIDE</t>
  </si>
  <si>
    <t>PFC-116 (perfluoroetaan)  </t>
  </si>
  <si>
    <t>PFC-14 (perfluorometaan)</t>
  </si>
  <si>
    <t>PFC-218 (perfluoropropaan)  </t>
  </si>
  <si>
    <t>PFC-3-1-10 (perflourobutaan)  </t>
  </si>
  <si>
    <t>PFC-318 (perfluorotsüklobutaan)</t>
  </si>
  <si>
    <t>PFC-4-1-12 (perfluoropentaan)  </t>
  </si>
  <si>
    <t>PFC-5-1-14 (perfluoroheksaan)  </t>
  </si>
  <si>
    <t>PFPMIE (perfluoropolümetüülisopropüül-eeter)</t>
  </si>
  <si>
    <t>PFC-9-1-18 (perfluorodekaliin)  </t>
  </si>
  <si>
    <t>Keemiline valem/gaas</t>
  </si>
  <si>
    <t>Sõidukitüüp, kütuseliik ja transpordiühik</t>
  </si>
  <si>
    <t>Jäiga kerega veoauto: suurus (täismass), kütuseliik ja transpordiühik</t>
  </si>
  <si>
    <t>Liigendveoauto: suurus (täismass), kütuseliik ja transpordiühik</t>
  </si>
  <si>
    <t>Jäiga kerega/liigendveoautode keskmine, kütuseliik ja transpordiühik</t>
  </si>
  <si>
    <t>Laevatüüp ja suurus</t>
  </si>
  <si>
    <t>Bussiteenuse pakkujad (keskmine kütusekulu l/km, maakondlik liin), KHG inventuuri aruanne 2022 (diiselbussi eriheitetegur)</t>
  </si>
  <si>
    <t>Kütusekulu arvutatud LIPASTO eelduste põhjal, KHG inventuuri aruanne 2022 (rongidiisli eriheitetegur)</t>
  </si>
  <si>
    <t>Bussiteenuse pakkujad, Statistikaamet, KHG inventuuri aruanne 2022 (diiselbussi eriheitetegur)</t>
  </si>
  <si>
    <t>UK GHG Conversion Factors 2021 (keskmine täituvus: 1,4)</t>
  </si>
  <si>
    <t>AS Elron, KHG inventuuri aruanne 2022 (rongidiisli eriheitetegur)</t>
  </si>
  <si>
    <t>M3 - JÄÄTMETE TRANSPORDI JA TÖÖTLEMISE ERIHEITETEGURID</t>
  </si>
  <si>
    <t>Töötlemise eriheitetegur</t>
  </si>
  <si>
    <t>Sisaldub töötlemise eriheiteteguris</t>
  </si>
  <si>
    <t>Lokaalkütte arvestuslik katla kasutegur</t>
  </si>
  <si>
    <t xml:space="preserve">Kaugkütte arvestuslik katla kasutegur </t>
  </si>
  <si>
    <t>KHG inventuuri aruanne 2022, arvestuslik katla kasutegur 80%</t>
  </si>
  <si>
    <t>KHG inventuuri aruanne 2022, arvestuslik katla kasutegur 90%</t>
  </si>
  <si>
    <t>Väärtus</t>
  </si>
  <si>
    <t>Soojuseks muundamise tõhusus (arvestuslik)</t>
  </si>
  <si>
    <t>https://data.jrc.ec.europa.eu/dataset/jrc-com-ef-comw-ef-2017</t>
  </si>
  <si>
    <t>https://www.emisia.com/utilities/copert/</t>
  </si>
  <si>
    <t>VEEBILINK</t>
  </si>
  <si>
    <t>https://epha.ee/wp-content/uploads/2021/12/Aruanne-16.12.2021_veeb.pdf</t>
  </si>
  <si>
    <t>Eesti 2021. aasta segajääk ja metoodika</t>
  </si>
  <si>
    <t>https://publications.jrc.ec.europa.eu/repository/handle/JRC119036</t>
  </si>
  <si>
    <t>https://envir.ee/kliima/kliima/kasvuhoonegaasid-eestis#kasvuhoonegaaside-in</t>
  </si>
  <si>
    <t>http://lipasto.vtt.fi/en/index.htm</t>
  </si>
  <si>
    <t>https://www.gov.uk/government/collections/government-conversion-factors-for-company-reporting</t>
  </si>
  <si>
    <t>SÕIDUAUTO, JALGRATAS, TAKSO, MOOTORRATAS, MOPEED, JALGSI</t>
  </si>
  <si>
    <t>ÜHISTRANSPORT (BUSS, TRAMM, TROLL, RONG, TAKSO)</t>
  </si>
  <si>
    <t>SÕIDUAUTO, MOOTORRATAS, MOPEED, TAKSO</t>
  </si>
  <si>
    <t>BUSS, RÖÖBASTRANSPORT, LENNUK, LAEV</t>
  </si>
  <si>
    <t>Sõiduauto (tavaelekter)</t>
  </si>
  <si>
    <t>Bilans GES - Ademe</t>
  </si>
  <si>
    <t xml:space="preserve">Sülearvuti </t>
  </si>
  <si>
    <t>kg CO₂ ekv/tk</t>
  </si>
  <si>
    <t>Printer</t>
  </si>
  <si>
    <t>Elektrikaubikute keskmise elektritarbimise alusel, arvestuslik keskmine koormakaal 1,2 t</t>
  </si>
  <si>
    <t>Kui ostetud toodete arvestust peetakse organisatsiooni üksuste kaupa, siis nende KHG heide on toodud eraldi allolevas koondtabelis.</t>
  </si>
  <si>
    <t xml:space="preserve">KHG arvutusmudelit saavad kasutada kõik organisatsioonid (nii avalikust, era- kui ka mittetulundussektorist), kes soovivad oma KHG jalajälge hinnata ja mõõta n-ö organisatsiooni tasandil. Samas tuleb arvestada, et mudel on välja töötatud universaalsena ja sisaldab KHG jalajälje hindamise mõjualade (mõjuala 1, 2 ja 3) piires enimkasutatavaid tegevuskategooriaid/heiteallikaid (vt ka mudelisse haaratud mõjualade kirjeldused allpool). Seega võib teatud keerukamate tegevustega organisatsioonidel olla vajadus kohandada arvutusmudelit (sh lisada  tegevusi ja heiteallikaid) ning kasutada oma tegevusvaldkonna jaoks asjakohaseid eriheitetegureid. Samuti võib mudelit muuta lisades või kustutades ridu, muutes tabelite päiseid jne. Tabelite kasutamise lihtsustamiseks on sinna eelsisestatud mõned näited, mis tuleks ära kustutada enne mudeli kasutamist. </t>
  </si>
  <si>
    <t xml:space="preserve">Ostetud toodete puhul tuleks arvestada KHG heidet n-ö olelusringipõhiselt. See tähendab, et arvesse tuleks võtta eelkõige kogu sissetarne käigus (olelusringi mõistes n-ö hällist väravani </t>
  </si>
  <si>
    <t xml:space="preserve">väärtusahela osaliste tegevuse tulemusel) tekkinud kaudne KHG heide. </t>
  </si>
  <si>
    <t>• Keskmiste andmete meetod – ostetud kaupade mass (nt kg) või teenuste arv (tk) korrutatakse asjakohaste eriheiteteguritega (nt keskmine heide materjali/toorme/toote ühiku kohta).</t>
  </si>
  <si>
    <t xml:space="preserve">Müüdud toodete puhul tuleb arvestada KHG heidet n-ö olelusringipõhiselt. See tähendab, et üldjuhul tuleks arvesse võtta kogu väljatarne (olelusringi mõistes n-ö väravast hällini väärtusahela </t>
  </si>
  <si>
    <t xml:space="preserve">osaliste tegevuse tulemusel) tekkinud kaudne KHG heide, sh toodete kasutamise ja lõppkäitlemisega seotud KHG heitkogus. </t>
  </si>
  <si>
    <t>• Keskmiste andmete meetod – müüdud kaupade mass (nt kg) või teenuste arv (tk) korrutatakse asjakohaste eriheiteteguritega (nt keskmine heide materjali/toorme/toote ühiku kohta).</t>
  </si>
  <si>
    <t>• Kulupõhine meetod – müüdud toodete majanduslik väärtus korrutatakse asjakohaste eriheiteteguritega (nt keskmine heitkogus materjali/toorme/toote rahalise väärtuse kohta).</t>
  </si>
  <si>
    <t>• Kulupõhine meetod – ostetud toodete majanduslik väärtus korrutatakse asjakohaste eriheiteteguritega (nt keskmine heitkogus materjali/toorme/toote rahalise väärtuse kohta).</t>
  </si>
  <si>
    <t>Kõigi jäiga kerega veoauto suuruste biodiisli (FAME) eriheitetegurite arvutuslik keskmine</t>
  </si>
  <si>
    <t>Kõigi jäiga kerega veoauto suuruste biodiisli (HVO) eriheitetegurite arvutuslik keskmine</t>
  </si>
  <si>
    <t>Kõigi jäiga kerega veoauto suuruste diisli eriheitetegurite arvutuslik keskmine</t>
  </si>
  <si>
    <t>https://ghgprotocol.org/ghg-emissions-calculation-tool</t>
  </si>
  <si>
    <t>Eeldus: keskmise sõiduauto gaasitarbimine 0,057 kg/km ning kasutatud sõiduauto bio-CNG eriheitetegurit kg kohta</t>
  </si>
  <si>
    <t>Eeldus: keskmise sõiduauto gaasitarbimine on 0,057 kg/km ning kasutades sõiduauto bio-CNG eriheitetegurit kg kohta</t>
  </si>
  <si>
    <t>Keskmistatud sõiduautode keskmine eriheitetegur</t>
  </si>
  <si>
    <t>Bensiinimootoriga sõiduautode keskmine eriheitetegur</t>
  </si>
  <si>
    <t>Bensiini- ja diiselmootoriga sõiduautode keskmine eriheitetegur</t>
  </si>
  <si>
    <t>Diiselmootoriga sõiduautode keskmine eriheitetegur</t>
  </si>
  <si>
    <t>Hübriidmootoriga sõiduautode keskmine eriheitetegur</t>
  </si>
  <si>
    <t>lämmastiktrifluoriid (NF3).</t>
  </si>
  <si>
    <t xml:space="preserve">GSP on näitaja, mis iseloomustab asjaomase gaasi atmosfääri soojendavat mõju. Seda arvutatakse kui ühe kilogrammi F-gaasi 100-aastase soojendamise potentsiaali </t>
  </si>
  <si>
    <t>Vali aasta</t>
  </si>
  <si>
    <t>TRANSPORDITEENUSEST TULENEV KHG HEIDE KOKKU</t>
  </si>
  <si>
    <t>Kaubalennuk (keskmistatud)</t>
  </si>
  <si>
    <t xml:space="preserve">UK GHG Conversion Factors 2021 (keskmistatud võttes arvesse üldlevinud kaubalennukite suurust/tüüpi ja kasutamist) </t>
  </si>
  <si>
    <t xml:space="preserve">UK GHG Conversion Factors 2021 (keskmistatud võttes arvesse üldlevinud kemikaalitankerite suurust/tüüpi ja kasutamist) </t>
  </si>
  <si>
    <t>Kemikaalitanker (keskmistatud)</t>
  </si>
  <si>
    <t>Konteinerilaev (keskmistatud)</t>
  </si>
  <si>
    <t>LNG tanker (keskmistatud)</t>
  </si>
  <si>
    <t>LPG tanker (keskmistatud)</t>
  </si>
  <si>
    <t>Naftatanker (keskmistatud)</t>
  </si>
  <si>
    <t>Puistlastilaev (bulker) (keskmistatud)</t>
  </si>
  <si>
    <t>Sõidukite transpordilaev (keskmistatud)</t>
  </si>
  <si>
    <t>Tootetanker (keskmistatud)</t>
  </si>
  <si>
    <t>Üldkaubalaev (keskmistatud)</t>
  </si>
  <si>
    <t>KHG inventuur/COPERT, kõigi jäiga kerega ja liigendveoautode suuruste biodiisli (FAME) eriheitetegurite arvutuslik keskmine</t>
  </si>
  <si>
    <t>KHG inventuur/COPERT, kõigi jäiga kerega ja liigendveoautode suuruste biodiisli (HVO) eriheitetegurite arvutuslik keskmine</t>
  </si>
  <si>
    <t>KHG inventuur/COPERT, kõigi jäiga kerega ja liigendveoautode suuruste diisli eriheitetegurite arvutuslik keskmine</t>
  </si>
  <si>
    <t>KHG inventuur/COPERT, kõigi liigendveoauto suuruste diisli eriheitetegurite arvutuslik keskmine</t>
  </si>
  <si>
    <t>KHG inventuur/COPERT, kõigi liigendveoauto suuruste biodiisli (HVO) eriheitetegurite arvutuslik keskmine</t>
  </si>
  <si>
    <t>KHG inventuur/COPERT, kõigi liigendveoauto suuruste biodiisli (FAME) eriheitetegurite arvutuslik keskmine</t>
  </si>
  <si>
    <t xml:space="preserve">UK GHG Conversion Factors 2021 (keskmistatud võttes arvesse üldlevinud konteinerilaevade suurust/tüüpi ja kasutamist) </t>
  </si>
  <si>
    <t xml:space="preserve">UK GHG Conversion Factors 2021 (keskmistatud võttes arvesse üldlevinud külmutatud laevade suurust/tüüpi ja kasutamist) </t>
  </si>
  <si>
    <t xml:space="preserve">UK GHG Conversion Factors 2021 (keskmistatud võttes arvesse üldlevinud LNG tankerite suurust/tüüpi ja kasutamist) </t>
  </si>
  <si>
    <t xml:space="preserve">UK GHG Conversion Factors 2021 (keskmistatud võttes arvesse üldlevinud LPG tankerite suurust/tüüpi ja kasutamist) </t>
  </si>
  <si>
    <t xml:space="preserve">UK GHG Conversion Factors 2021 (keskmistatud võttes arvesse üldlevinud naftatankerite suurust/tüüpi ja kasutamist) </t>
  </si>
  <si>
    <t xml:space="preserve">UK GHG Conversion Factors 2021 (keskmistatud võttes arvesse üldlevinud puitlastilaevade suurust/tüüpi ja kasutamist) </t>
  </si>
  <si>
    <t xml:space="preserve">UK GHG Conversion Factors 2021 (keskmistatud võttes arvesse üldlevinud üldkaubalevade suurust/tüüpi ja kasutamist) </t>
  </si>
  <si>
    <t xml:space="preserve">UK GHG Conversion Factors 2021 (keskmistatud võttes arvesse üldlevinud tootetankerite suurust/tüüpi ja kasutamist) </t>
  </si>
  <si>
    <t xml:space="preserve">UK GHG Conversion Factors 2021 </t>
  </si>
  <si>
    <t>AR6</t>
  </si>
  <si>
    <t>HT - Energia (M1, M2)</t>
  </si>
  <si>
    <t>HT - Transport (M3)</t>
  </si>
  <si>
    <t>HT - Tööreisid (M3)</t>
  </si>
  <si>
    <t>HT - Tööle-koju (M3)</t>
  </si>
  <si>
    <t>tC/TJ</t>
  </si>
  <si>
    <t>Eriheitetegur tabelisse</t>
  </si>
  <si>
    <t>KHG inventuuri aruanne 2022, katlad 1-50MW</t>
  </si>
  <si>
    <t>KHG inventuuri aruanne 2022, kütteväärtus 11,9 MJ/kg</t>
  </si>
  <si>
    <t>KHG inventuuri aruanne 2022</t>
  </si>
  <si>
    <t>KHG inventuuri aruanne 2022, kütteväärtus ~35,69 MJ/l</t>
  </si>
  <si>
    <t>KHG inventuuri aruanne 2022, 2020. a kivisöe kütteväärtus 24,94 MJ/kg (Statistikaamet)</t>
  </si>
  <si>
    <t>Põlevkivi poolkoksigaas (VKG Petr III) (kWh)</t>
  </si>
  <si>
    <t>Põlevkivi generaatorgaas (VKG Petr III) (kWh)</t>
  </si>
  <si>
    <t>KHG inventuuri aruanne 2022, kütteväärtus 42,3 MJ/kg</t>
  </si>
  <si>
    <t>KHG inventuuri aruanne 2022, kütteväärtus 39,22 MJ/kg</t>
  </si>
  <si>
    <t>KHG inventuuri aruanne 2022, kütteväärtus 40,15 MJ/kg</t>
  </si>
  <si>
    <t>KHG inventuuri aruanne 2022, kütteväärtus 16,0 MJ/kg</t>
  </si>
  <si>
    <t>KHG inventuuri aruanne 2022, kütteväärtus ~31,82 MJ/l</t>
  </si>
  <si>
    <t>KHG inventuuri aruanne 2022, kütteväärtus ~31,91 MJ/l</t>
  </si>
  <si>
    <t>KHG inventuuri aruanne 2022, kütteväärtus 49 MJ/kg</t>
  </si>
  <si>
    <t>KHG inventuuri aruanne 2022, kütteväärtus 45.5 MJ/kg</t>
  </si>
  <si>
    <t>KHG inventuuri aruanne 2022, kütteväärtus ~33.0 MJ/l</t>
  </si>
  <si>
    <t xml:space="preserve">KHG inventuuri aruanne 2022 </t>
  </si>
  <si>
    <t>Kasutatud on KHG inventuuri aruande 2022 bio-CNG sõiduauto eriheitetegurit, kuna KHG inventuuris kaubikut ei eristata</t>
  </si>
  <si>
    <t>Kasutatud on KHG inventuuri aruande 2022 CNG-sõiduauto eriheitetegurit, kuna KHG inventuuris kaubikut ei eristata</t>
  </si>
  <si>
    <t>Kasutatud on KHG inventuuri aruande 2022 LPG-sõidukite eriheitetegurit, kuna inventuuris sõidukitüüpe ei eristata</t>
  </si>
  <si>
    <t>Kasutatud on KHG inventuuri aruande 2022 bio-CNG sõiduauto eriheitetegurit, kuna KHG inventuuris kaubikut ei eristata, kütteväärtus 49MJ/kg</t>
  </si>
  <si>
    <t>KHG inventuuri aruanne 2022, kütteväärtus 49MJ/kg</t>
  </si>
  <si>
    <t>Kasutatud on KHG inventuuri aruande 2022 CNG-sõiduauto eriheitetegurit, kuna KHG inventuuris kaubikut ei eristata, kütteväärtus 49MJ/kg</t>
  </si>
  <si>
    <t>Kasutatud on KHG inventuuri aruande 2022 LPG-sõidukite eriheitetegurit, kuna inventuuris sõidukitüüpe ei eristata, kütteväärtus 45.5 MJ/kg</t>
  </si>
  <si>
    <t>Bensiini ja diisli kaalutud keskmine eriheitetegur km kohta</t>
  </si>
  <si>
    <t>Maanteesõiduki bensiin (l)</t>
  </si>
  <si>
    <t>Maanteesõiduki biodiisel FAME (l)</t>
  </si>
  <si>
    <t>Maanteesõiduki biodiisel HVO (l)</t>
  </si>
  <si>
    <t>Maanteesõiduki biodiisel ME (l)</t>
  </si>
  <si>
    <t>Maanteesõiduki diisel (l)</t>
  </si>
  <si>
    <t>Maanteesõiduki surubiometaan bio-CNG (kg)</t>
  </si>
  <si>
    <t>Maanteesõiduki surumaagaas CNG (kg)</t>
  </si>
  <si>
    <t>Maanteesõiduki veeldatud naftagaas LPG (kg)</t>
  </si>
  <si>
    <t>Rongidiisel (l)</t>
  </si>
  <si>
    <t>Veesõiduk, laevakütus (l)</t>
  </si>
  <si>
    <t>Õhusõiduk, lennukibensiin AVGAS 100LL (l)</t>
  </si>
  <si>
    <t>Õhusõiduk, petrooli tüüpi reaktiivkütus (l)</t>
  </si>
  <si>
    <t>Kütuseliik ja koguse ühik</t>
  </si>
  <si>
    <t>Bensiin, kaubik (l)</t>
  </si>
  <si>
    <t>Bensiin, mootorratas (l)</t>
  </si>
  <si>
    <t>Bensiin, raskeveok (l)</t>
  </si>
  <si>
    <t>Bensiin, sõiduauto (l)</t>
  </si>
  <si>
    <t>Bio-CNG, kaubik (kg)</t>
  </si>
  <si>
    <t>Bio-CNG, raskeveok/buss (kg)</t>
  </si>
  <si>
    <t>Bio-CNG, sõiduauto (kg)</t>
  </si>
  <si>
    <t>CNG, kaubik (kg)</t>
  </si>
  <si>
    <t>CNG, raskeveok/buss (kg)</t>
  </si>
  <si>
    <t>CNG, sõiduauto (kg)</t>
  </si>
  <si>
    <t>Diisel, buss (l)</t>
  </si>
  <si>
    <t>Diisel, kaubik (l)</t>
  </si>
  <si>
    <t>Diisel, raskeveok (l)</t>
  </si>
  <si>
    <t>Diisel, sõiduauto (l)</t>
  </si>
  <si>
    <t>LPG, kaubik (kg)</t>
  </si>
  <si>
    <t>LPG, raskeveok/buss (kg)</t>
  </si>
  <si>
    <t>LPG, sõiduauto (kg)</t>
  </si>
  <si>
    <t>Kütuseliik, sõidukitüüp ja kütuse koguse ühik</t>
  </si>
  <si>
    <r>
      <rPr>
        <b/>
        <sz val="11"/>
        <rFont val="Cambria"/>
        <family val="1"/>
      </rPr>
      <t>NB!</t>
    </r>
    <r>
      <rPr>
        <sz val="11"/>
        <rFont val="Cambria"/>
        <family val="1"/>
      </rPr>
      <t xml:space="preserve"> Käesolev mudel pakub eelkõige metoodilise raamistiku ja töövahendi organisatsiooni tasemel KHG jalajälje arvutamiseks (vastavalt mudelis toodud mõjualadele ja tegevusvaldkondadele). Samas tuleb arvestada, et KHG jalajälje hindamise protsess ei tohiks piirduda ainult arvutustulemuste esitamisega. KHG jalajälje hindamise tulemuste kokkuvõte/aruanne peab sisaldama põhjalikku ja selget ülevaadet ka hindamise eeldustest ja ulatusest, sh hinnatud mõjualade ja heiteallikate valiku põhjendamisest (vt ka KHG jalajälje hindamise juhend).</t>
    </r>
  </si>
  <si>
    <r>
      <t xml:space="preserve"> ̶  süsinikdioksiid (CO</t>
    </r>
    <r>
      <rPr>
        <vertAlign val="subscript"/>
        <sz val="11"/>
        <color theme="1"/>
        <rFont val="Cambria"/>
        <family val="1"/>
      </rPr>
      <t>2</t>
    </r>
    <r>
      <rPr>
        <sz val="11"/>
        <color theme="1"/>
        <rFont val="Cambria"/>
        <family val="1"/>
      </rPr>
      <t>)</t>
    </r>
  </si>
  <si>
    <r>
      <t xml:space="preserve"> ̶  metaan (CH</t>
    </r>
    <r>
      <rPr>
        <vertAlign val="subscript"/>
        <sz val="11"/>
        <color theme="1"/>
        <rFont val="Cambria"/>
        <family val="1"/>
      </rPr>
      <t>4</t>
    </r>
    <r>
      <rPr>
        <sz val="11"/>
        <color theme="1"/>
        <rFont val="Cambria"/>
        <family val="1"/>
      </rPr>
      <t>)</t>
    </r>
  </si>
  <si>
    <r>
      <t xml:space="preserve"> ̶  dilämmastikoksiid (N</t>
    </r>
    <r>
      <rPr>
        <vertAlign val="subscript"/>
        <sz val="11"/>
        <color theme="1"/>
        <rFont val="Cambria"/>
        <family val="1"/>
      </rPr>
      <t>2</t>
    </r>
    <r>
      <rPr>
        <sz val="11"/>
        <color theme="1"/>
        <rFont val="Cambria"/>
        <family val="1"/>
      </rPr>
      <t>O)</t>
    </r>
  </si>
  <si>
    <r>
      <t xml:space="preserve"> ̶  väävelheksafluoriid (SF</t>
    </r>
    <r>
      <rPr>
        <vertAlign val="subscript"/>
        <sz val="11"/>
        <color theme="1"/>
        <rFont val="Cambria"/>
        <family val="1"/>
      </rPr>
      <t>6</t>
    </r>
    <r>
      <rPr>
        <sz val="11"/>
        <color theme="1"/>
        <rFont val="Cambria"/>
        <family val="1"/>
      </rPr>
      <t>)</t>
    </r>
  </si>
  <si>
    <r>
      <t xml:space="preserve"> ̶  lämmastik trifluoriid (NF</t>
    </r>
    <r>
      <rPr>
        <vertAlign val="subscript"/>
        <sz val="11"/>
        <color theme="1"/>
        <rFont val="Cambria"/>
        <family val="1"/>
      </rPr>
      <t>3</t>
    </r>
    <r>
      <rPr>
        <sz val="11"/>
        <color theme="1"/>
        <rFont val="Cambria"/>
        <family val="1"/>
      </rPr>
      <t>)</t>
    </r>
  </si>
  <si>
    <r>
      <rPr>
        <b/>
        <sz val="11"/>
        <color theme="1"/>
        <rFont val="Cambria"/>
        <family val="1"/>
      </rPr>
      <t>Mõjuala 1 (M1).</t>
    </r>
    <r>
      <rPr>
        <sz val="11"/>
        <color theme="1"/>
        <rFont val="Cambria"/>
        <family val="1"/>
      </rPr>
      <t xml:space="preserve"> Hõlmab organisatsiooni otsest KHG heidet, mis pärineb organisatsiooni enda tegevustest/heiteallikatest. Mudel võimaldab arvutada järgmistest </t>
    </r>
  </si>
  <si>
    <t xml:space="preserve"> ̶  Organisatsiooni enda energiatootmine (M1-Energia)</t>
  </si>
  <si>
    <r>
      <rPr>
        <b/>
        <sz val="11"/>
        <color theme="1"/>
        <rFont val="Cambria"/>
        <family val="1"/>
      </rPr>
      <t>Mõjuala 2 (M2)</t>
    </r>
    <r>
      <rPr>
        <sz val="11"/>
        <color theme="1"/>
        <rFont val="Cambria"/>
        <family val="1"/>
      </rPr>
      <t>. Teistelt organisatsioonidelt sisseostetud energia tarbimisest tulenev kaudne KHG heide:</t>
    </r>
  </si>
  <si>
    <r>
      <rPr>
        <b/>
        <sz val="11"/>
        <color theme="1"/>
        <rFont val="Cambria"/>
        <family val="1"/>
      </rPr>
      <t>Mõjuala 3 (M3</t>
    </r>
    <r>
      <rPr>
        <sz val="11"/>
        <color theme="1"/>
        <rFont val="Cambria"/>
        <family val="1"/>
      </rPr>
      <t>):</t>
    </r>
  </si>
  <si>
    <r>
      <t>Eesti kaugküttesektori CO</t>
    </r>
    <r>
      <rPr>
        <vertAlign val="subscript"/>
        <sz val="11"/>
        <color theme="1"/>
        <rFont val="Cambria"/>
        <family val="1"/>
      </rPr>
      <t>2</t>
    </r>
    <r>
      <rPr>
        <sz val="11"/>
        <color theme="1"/>
        <rFont val="Cambria"/>
        <family val="1"/>
      </rPr>
      <t xml:space="preserve"> heitmed. Eesti Jõujaamade ja Kaugkütte Ühing, TalTech, 2021</t>
    </r>
  </si>
  <si>
    <r>
      <t>Iru elektrijaama jäätmepõletusplokis põletatavate jäätmete liigilise koostise ja omaduste ning põletamisel tekkiva CO</t>
    </r>
    <r>
      <rPr>
        <vertAlign val="subscript"/>
        <sz val="11"/>
        <color theme="1"/>
        <rFont val="Cambria"/>
        <family val="1"/>
      </rPr>
      <t>2</t>
    </r>
    <r>
      <rPr>
        <sz val="11"/>
        <color theme="1"/>
        <rFont val="Cambria"/>
        <family val="1"/>
      </rPr>
      <t xml:space="preserve"> heitekoefitsiendi määramine, 2019</t>
    </r>
  </si>
  <si>
    <r>
      <t>kg CO</t>
    </r>
    <r>
      <rPr>
        <sz val="8"/>
        <rFont val="Cambria"/>
        <family val="1"/>
      </rPr>
      <t xml:space="preserve">2 </t>
    </r>
    <r>
      <rPr>
        <sz val="11"/>
        <rFont val="Cambria"/>
        <family val="1"/>
      </rPr>
      <t>ekv/kg</t>
    </r>
  </si>
  <si>
    <r>
      <t>kg CO</t>
    </r>
    <r>
      <rPr>
        <sz val="8"/>
        <rFont val="Cambria"/>
        <family val="1"/>
      </rPr>
      <t xml:space="preserve">2 </t>
    </r>
    <r>
      <rPr>
        <sz val="11"/>
        <rFont val="Cambria"/>
        <family val="1"/>
      </rPr>
      <t>ekv/kWh</t>
    </r>
  </si>
  <si>
    <r>
      <t>kg CO</t>
    </r>
    <r>
      <rPr>
        <sz val="8"/>
        <rFont val="Cambria"/>
        <family val="1"/>
      </rPr>
      <t xml:space="preserve">2 </t>
    </r>
    <r>
      <rPr>
        <sz val="11"/>
        <rFont val="Cambria"/>
        <family val="1"/>
      </rPr>
      <t>ekv/m</t>
    </r>
    <r>
      <rPr>
        <vertAlign val="superscript"/>
        <sz val="11"/>
        <rFont val="Cambria"/>
        <family val="1"/>
      </rPr>
      <t>3</t>
    </r>
  </si>
  <si>
    <r>
      <t>KHG inventuuri aruanne 2022, katlad 1-50MW, 2020. a maagaasi keskmine alumine kütteväärtus ca 34,13 MJ/m</t>
    </r>
    <r>
      <rPr>
        <vertAlign val="superscript"/>
        <sz val="11"/>
        <rFont val="Cambria"/>
        <family val="1"/>
      </rPr>
      <t>3</t>
    </r>
    <r>
      <rPr>
        <sz val="11"/>
        <rFont val="Cambria"/>
        <family val="1"/>
      </rPr>
      <t xml:space="preserve"> (Elering: https://elering.ee/vorgugaasi-kvaliteet)</t>
    </r>
  </si>
  <si>
    <r>
      <t>kg CO</t>
    </r>
    <r>
      <rPr>
        <sz val="8"/>
        <color theme="1"/>
        <rFont val="Cambria"/>
        <family val="1"/>
      </rPr>
      <t xml:space="preserve">2 </t>
    </r>
    <r>
      <rPr>
        <sz val="11"/>
        <color theme="1"/>
        <rFont val="Cambria"/>
        <family val="1"/>
      </rPr>
      <t>ekv/l</t>
    </r>
  </si>
  <si>
    <r>
      <t>kg biogeenne CO</t>
    </r>
    <r>
      <rPr>
        <vertAlign val="subscript"/>
        <sz val="11"/>
        <color theme="1"/>
        <rFont val="Cambria"/>
        <family val="1"/>
      </rPr>
      <t>2</t>
    </r>
    <r>
      <rPr>
        <sz val="11"/>
        <color theme="1"/>
        <rFont val="Cambria"/>
        <family val="1"/>
      </rPr>
      <t>/kg</t>
    </r>
  </si>
  <si>
    <r>
      <t>kg biogeenne CO</t>
    </r>
    <r>
      <rPr>
        <vertAlign val="subscript"/>
        <sz val="11"/>
        <color theme="1"/>
        <rFont val="Cambria"/>
        <family val="1"/>
      </rPr>
      <t>2</t>
    </r>
    <r>
      <rPr>
        <sz val="11"/>
        <color theme="1"/>
        <rFont val="Cambria"/>
        <family val="1"/>
      </rPr>
      <t>/kWh</t>
    </r>
  </si>
  <si>
    <r>
      <t>kg biogeenne CO</t>
    </r>
    <r>
      <rPr>
        <vertAlign val="subscript"/>
        <sz val="11"/>
        <color theme="1"/>
        <rFont val="Cambria"/>
        <family val="1"/>
      </rPr>
      <t>2</t>
    </r>
    <r>
      <rPr>
        <sz val="11"/>
        <color theme="1"/>
        <rFont val="Cambria"/>
        <family val="1"/>
      </rPr>
      <t>/m</t>
    </r>
    <r>
      <rPr>
        <vertAlign val="superscript"/>
        <sz val="11"/>
        <color theme="1"/>
        <rFont val="Cambria"/>
        <family val="1"/>
      </rPr>
      <t>3</t>
    </r>
  </si>
  <si>
    <r>
      <t>KHG inventuuri aruanne 2022, 2020. a maagaasi keskmine alumine kütteväärtus ca 34,13 MJ/m</t>
    </r>
    <r>
      <rPr>
        <vertAlign val="superscript"/>
        <sz val="11"/>
        <rFont val="Cambria"/>
        <family val="1"/>
      </rPr>
      <t>3</t>
    </r>
    <r>
      <rPr>
        <sz val="11"/>
        <rFont val="Cambria"/>
        <family val="1"/>
      </rPr>
      <t xml:space="preserve"> (Elering: https://elering.ee/vorgugaasi-kvaliteet)</t>
    </r>
  </si>
  <si>
    <r>
      <t>kg CO</t>
    </r>
    <r>
      <rPr>
        <sz val="8"/>
        <color theme="1"/>
        <rFont val="Cambria"/>
        <family val="1"/>
      </rPr>
      <t xml:space="preserve">2 </t>
    </r>
    <r>
      <rPr>
        <sz val="11"/>
        <color theme="1"/>
        <rFont val="Cambria"/>
        <family val="1"/>
      </rPr>
      <t>ekv/kg</t>
    </r>
  </si>
  <si>
    <r>
      <t>kg CO</t>
    </r>
    <r>
      <rPr>
        <vertAlign val="subscript"/>
        <sz val="11"/>
        <rFont val="Cambria"/>
        <family val="1"/>
      </rPr>
      <t xml:space="preserve">2 </t>
    </r>
    <r>
      <rPr>
        <sz val="11"/>
        <rFont val="Cambria"/>
        <family val="1"/>
      </rPr>
      <t>ekv/km</t>
    </r>
  </si>
  <si>
    <r>
      <t>kg CO</t>
    </r>
    <r>
      <rPr>
        <vertAlign val="subscript"/>
        <sz val="11"/>
        <rFont val="Cambria"/>
        <family val="1"/>
      </rPr>
      <t xml:space="preserve">2 </t>
    </r>
    <r>
      <rPr>
        <sz val="11"/>
        <rFont val="Cambria"/>
        <family val="1"/>
      </rPr>
      <t>ekv/tonn-km</t>
    </r>
  </si>
  <si>
    <r>
      <t>kg CO</t>
    </r>
    <r>
      <rPr>
        <vertAlign val="subscript"/>
        <sz val="11"/>
        <rFont val="Cambria"/>
        <family val="1"/>
      </rPr>
      <t xml:space="preserve">2 </t>
    </r>
    <r>
      <rPr>
        <sz val="11"/>
        <rFont val="Cambria"/>
        <family val="1"/>
      </rPr>
      <t>ekv/sõitja-km</t>
    </r>
  </si>
  <si>
    <r>
      <t>Metaan (CH</t>
    </r>
    <r>
      <rPr>
        <vertAlign val="subscript"/>
        <sz val="11"/>
        <color rgb="FF000000"/>
        <rFont val="Cambria"/>
        <family val="1"/>
      </rPr>
      <t>4</t>
    </r>
    <r>
      <rPr>
        <sz val="11"/>
        <color rgb="FF000000"/>
        <rFont val="Cambria"/>
        <family val="1"/>
      </rPr>
      <t>)</t>
    </r>
    <r>
      <rPr>
        <vertAlign val="subscript"/>
        <sz val="11"/>
        <color rgb="FF000000"/>
        <rFont val="Cambria"/>
        <family val="1"/>
      </rPr>
      <t xml:space="preserve"> </t>
    </r>
    <r>
      <rPr>
        <sz val="11"/>
        <color rgb="FF000000"/>
        <rFont val="Cambria"/>
        <family val="1"/>
      </rPr>
      <t>fossiilne</t>
    </r>
  </si>
  <si>
    <r>
      <t>Dilämmastikoksiid (N</t>
    </r>
    <r>
      <rPr>
        <vertAlign val="subscript"/>
        <sz val="11"/>
        <color rgb="FF000000"/>
        <rFont val="Cambria"/>
        <family val="1"/>
      </rPr>
      <t>2</t>
    </r>
    <r>
      <rPr>
        <sz val="11"/>
        <color rgb="FF000000"/>
        <rFont val="Cambria"/>
        <family val="1"/>
      </rPr>
      <t>O)</t>
    </r>
  </si>
  <si>
    <r>
      <t>Lämmastiktrifluoriid (NF</t>
    </r>
    <r>
      <rPr>
        <vertAlign val="subscript"/>
        <sz val="11"/>
        <color rgb="FF000000"/>
        <rFont val="Cambria"/>
        <family val="1"/>
      </rPr>
      <t>3</t>
    </r>
    <r>
      <rPr>
        <sz val="11"/>
        <color rgb="FF000000"/>
        <rFont val="Cambria"/>
        <family val="1"/>
      </rPr>
      <t>)</t>
    </r>
  </si>
  <si>
    <r>
      <t>Väävelheksafluoriid (SF</t>
    </r>
    <r>
      <rPr>
        <vertAlign val="subscript"/>
        <sz val="11"/>
        <color rgb="FF000000"/>
        <rFont val="Cambria"/>
        <family val="1"/>
      </rPr>
      <t>6</t>
    </r>
    <r>
      <rPr>
        <sz val="11"/>
        <color rgb="FF000000"/>
        <rFont val="Cambria"/>
        <family val="1"/>
      </rPr>
      <t>)</t>
    </r>
  </si>
  <si>
    <r>
      <t>kg CO</t>
    </r>
    <r>
      <rPr>
        <vertAlign val="subscript"/>
        <sz val="11"/>
        <rFont val="Cambria"/>
        <family val="1"/>
      </rPr>
      <t xml:space="preserve">2 </t>
    </r>
    <r>
      <rPr>
        <sz val="11"/>
        <rFont val="Cambria"/>
        <family val="1"/>
      </rPr>
      <t>ekv/tonn</t>
    </r>
  </si>
  <si>
    <r>
      <t>kg CO</t>
    </r>
    <r>
      <rPr>
        <vertAlign val="subscript"/>
        <sz val="11"/>
        <rFont val="Cambria"/>
        <family val="1"/>
      </rPr>
      <t>2 ekv</t>
    </r>
    <r>
      <rPr>
        <sz val="11"/>
        <rFont val="Cambria"/>
        <family val="1"/>
      </rPr>
      <t>/tonn-km</t>
    </r>
  </si>
  <si>
    <t>kg CO₂ ekv/tonn-km</t>
  </si>
  <si>
    <r>
      <t>CHF</t>
    </r>
    <r>
      <rPr>
        <vertAlign val="subscript"/>
        <sz val="11"/>
        <rFont val="Cambria"/>
        <family val="1"/>
      </rPr>
      <t>2</t>
    </r>
    <r>
      <rPr>
        <sz val="11"/>
        <color theme="1"/>
        <rFont val="Cambria"/>
        <family val="1"/>
      </rPr>
      <t>OCHClCF</t>
    </r>
    <r>
      <rPr>
        <vertAlign val="subscript"/>
        <sz val="11"/>
        <rFont val="Cambria"/>
        <family val="1"/>
      </rPr>
      <t>3</t>
    </r>
  </si>
  <si>
    <r>
      <t>C</t>
    </r>
    <r>
      <rPr>
        <vertAlign val="subscript"/>
        <sz val="11"/>
        <color theme="1"/>
        <rFont val="Cambria"/>
        <family val="1"/>
      </rPr>
      <t>2</t>
    </r>
    <r>
      <rPr>
        <sz val="11"/>
        <color theme="1"/>
        <rFont val="Cambria"/>
        <family val="1"/>
      </rPr>
      <t>HF</t>
    </r>
    <r>
      <rPr>
        <vertAlign val="subscript"/>
        <sz val="11"/>
        <color theme="1"/>
        <rFont val="Cambria"/>
        <family val="1"/>
      </rPr>
      <t>5</t>
    </r>
  </si>
  <si>
    <r>
      <t>C</t>
    </r>
    <r>
      <rPr>
        <vertAlign val="subscript"/>
        <sz val="11"/>
        <color theme="1"/>
        <rFont val="Cambria"/>
        <family val="1"/>
      </rPr>
      <t>2</t>
    </r>
    <r>
      <rPr>
        <sz val="11"/>
        <color theme="1"/>
        <rFont val="Cambria"/>
        <family val="1"/>
      </rPr>
      <t>H</t>
    </r>
    <r>
      <rPr>
        <vertAlign val="subscript"/>
        <sz val="11"/>
        <color theme="1"/>
        <rFont val="Cambria"/>
        <family val="1"/>
      </rPr>
      <t>2</t>
    </r>
    <r>
      <rPr>
        <sz val="11"/>
        <color theme="1"/>
        <rFont val="Cambria"/>
        <family val="1"/>
      </rPr>
      <t>F4</t>
    </r>
  </si>
  <si>
    <r>
      <t>C</t>
    </r>
    <r>
      <rPr>
        <vertAlign val="subscript"/>
        <sz val="11"/>
        <color theme="1"/>
        <rFont val="Cambria"/>
        <family val="1"/>
      </rPr>
      <t>2</t>
    </r>
    <r>
      <rPr>
        <sz val="11"/>
        <color theme="1"/>
        <rFont val="Cambria"/>
        <family val="1"/>
      </rPr>
      <t>H</t>
    </r>
    <r>
      <rPr>
        <vertAlign val="subscript"/>
        <sz val="11"/>
        <color theme="1"/>
        <rFont val="Cambria"/>
        <family val="1"/>
      </rPr>
      <t>2</t>
    </r>
    <r>
      <rPr>
        <sz val="11"/>
        <color theme="1"/>
        <rFont val="Cambria"/>
        <family val="1"/>
      </rPr>
      <t>F</t>
    </r>
    <r>
      <rPr>
        <vertAlign val="subscript"/>
        <sz val="11"/>
        <color theme="1"/>
        <rFont val="Cambria"/>
        <family val="1"/>
      </rPr>
      <t>4</t>
    </r>
  </si>
  <si>
    <r>
      <t>C</t>
    </r>
    <r>
      <rPr>
        <vertAlign val="subscript"/>
        <sz val="11"/>
        <color theme="1"/>
        <rFont val="Cambria"/>
        <family val="1"/>
      </rPr>
      <t>2</t>
    </r>
    <r>
      <rPr>
        <sz val="11"/>
        <color theme="1"/>
        <rFont val="Cambria"/>
        <family val="1"/>
      </rPr>
      <t>H</t>
    </r>
    <r>
      <rPr>
        <vertAlign val="subscript"/>
        <sz val="11"/>
        <color theme="1"/>
        <rFont val="Cambria"/>
        <family val="1"/>
      </rPr>
      <t>3</t>
    </r>
    <r>
      <rPr>
        <sz val="11"/>
        <color theme="1"/>
        <rFont val="Cambria"/>
        <family val="1"/>
      </rPr>
      <t>F</t>
    </r>
    <r>
      <rPr>
        <vertAlign val="subscript"/>
        <sz val="11"/>
        <color theme="1"/>
        <rFont val="Cambria"/>
        <family val="1"/>
      </rPr>
      <t>3</t>
    </r>
  </si>
  <si>
    <r>
      <t>C</t>
    </r>
    <r>
      <rPr>
        <vertAlign val="subscript"/>
        <sz val="11"/>
        <color theme="1"/>
        <rFont val="Cambria"/>
        <family val="1"/>
      </rPr>
      <t>2</t>
    </r>
    <r>
      <rPr>
        <sz val="11"/>
        <color theme="1"/>
        <rFont val="Cambria"/>
        <family val="1"/>
      </rPr>
      <t>H</t>
    </r>
    <r>
      <rPr>
        <vertAlign val="subscript"/>
        <sz val="11"/>
        <color theme="1"/>
        <rFont val="Cambria"/>
        <family val="1"/>
      </rPr>
      <t>4</t>
    </r>
    <r>
      <rPr>
        <sz val="11"/>
        <color theme="1"/>
        <rFont val="Cambria"/>
        <family val="1"/>
      </rPr>
      <t>F</t>
    </r>
    <r>
      <rPr>
        <vertAlign val="subscript"/>
        <sz val="11"/>
        <color theme="1"/>
        <rFont val="Cambria"/>
        <family val="1"/>
      </rPr>
      <t>2</t>
    </r>
  </si>
  <si>
    <r>
      <t>C</t>
    </r>
    <r>
      <rPr>
        <vertAlign val="subscript"/>
        <sz val="11"/>
        <color theme="1"/>
        <rFont val="Cambria"/>
        <family val="1"/>
      </rPr>
      <t>2</t>
    </r>
    <r>
      <rPr>
        <sz val="11"/>
        <color theme="1"/>
        <rFont val="Cambria"/>
        <family val="1"/>
      </rPr>
      <t>H</t>
    </r>
    <r>
      <rPr>
        <vertAlign val="subscript"/>
        <sz val="11"/>
        <color theme="1"/>
        <rFont val="Cambria"/>
        <family val="1"/>
      </rPr>
      <t>5</t>
    </r>
    <r>
      <rPr>
        <sz val="11"/>
        <color theme="1"/>
        <rFont val="Cambria"/>
        <family val="1"/>
      </rPr>
      <t>F</t>
    </r>
  </si>
  <si>
    <r>
      <t>C</t>
    </r>
    <r>
      <rPr>
        <vertAlign val="subscript"/>
        <sz val="11"/>
        <color theme="1"/>
        <rFont val="Cambria"/>
        <family val="1"/>
      </rPr>
      <t>3</t>
    </r>
    <r>
      <rPr>
        <sz val="11"/>
        <color theme="1"/>
        <rFont val="Cambria"/>
        <family val="1"/>
      </rPr>
      <t>HF</t>
    </r>
    <r>
      <rPr>
        <vertAlign val="subscript"/>
        <sz val="11"/>
        <color theme="1"/>
        <rFont val="Cambria"/>
        <family val="1"/>
      </rPr>
      <t>7</t>
    </r>
  </si>
  <si>
    <r>
      <t>CHF</t>
    </r>
    <r>
      <rPr>
        <vertAlign val="subscript"/>
        <sz val="11"/>
        <color theme="1"/>
        <rFont val="Cambria"/>
        <family val="1"/>
      </rPr>
      <t>3</t>
    </r>
  </si>
  <si>
    <r>
      <t>C</t>
    </r>
    <r>
      <rPr>
        <vertAlign val="subscript"/>
        <sz val="11"/>
        <color theme="1"/>
        <rFont val="Cambria"/>
        <family val="1"/>
      </rPr>
      <t>3</t>
    </r>
    <r>
      <rPr>
        <sz val="11"/>
        <color theme="1"/>
        <rFont val="Cambria"/>
        <family val="1"/>
      </rPr>
      <t>H</t>
    </r>
    <r>
      <rPr>
        <vertAlign val="subscript"/>
        <sz val="11"/>
        <color theme="1"/>
        <rFont val="Cambria"/>
        <family val="1"/>
      </rPr>
      <t>2</t>
    </r>
    <r>
      <rPr>
        <sz val="11"/>
        <color theme="1"/>
        <rFont val="Cambria"/>
        <family val="1"/>
      </rPr>
      <t>F</t>
    </r>
    <r>
      <rPr>
        <vertAlign val="subscript"/>
        <sz val="11"/>
        <color theme="1"/>
        <rFont val="Cambria"/>
        <family val="1"/>
      </rPr>
      <t>6</t>
    </r>
  </si>
  <si>
    <r>
      <t>C</t>
    </r>
    <r>
      <rPr>
        <vertAlign val="subscript"/>
        <sz val="11"/>
        <color theme="1"/>
        <rFont val="Cambria"/>
        <family val="1"/>
      </rPr>
      <t>3</t>
    </r>
    <r>
      <rPr>
        <sz val="11"/>
        <color theme="1"/>
        <rFont val="Cambria"/>
        <family val="1"/>
      </rPr>
      <t>H</t>
    </r>
    <r>
      <rPr>
        <vertAlign val="subscript"/>
        <sz val="11"/>
        <color theme="1"/>
        <rFont val="Cambria"/>
        <family val="1"/>
      </rPr>
      <t>3</t>
    </r>
    <r>
      <rPr>
        <sz val="11"/>
        <color theme="1"/>
        <rFont val="Cambria"/>
        <family val="1"/>
      </rPr>
      <t>F</t>
    </r>
    <r>
      <rPr>
        <vertAlign val="subscript"/>
        <sz val="11"/>
        <color theme="1"/>
        <rFont val="Cambria"/>
        <family val="1"/>
      </rPr>
      <t>5</t>
    </r>
  </si>
  <si>
    <r>
      <t>CH</t>
    </r>
    <r>
      <rPr>
        <vertAlign val="subscript"/>
        <sz val="11"/>
        <color theme="1"/>
        <rFont val="Cambria"/>
        <family val="1"/>
      </rPr>
      <t>2</t>
    </r>
    <r>
      <rPr>
        <sz val="11"/>
        <color theme="1"/>
        <rFont val="Cambria"/>
        <family val="1"/>
      </rPr>
      <t>F</t>
    </r>
    <r>
      <rPr>
        <vertAlign val="subscript"/>
        <sz val="11"/>
        <color theme="1"/>
        <rFont val="Cambria"/>
        <family val="1"/>
      </rPr>
      <t>2</t>
    </r>
  </si>
  <si>
    <r>
      <t>C</t>
    </r>
    <r>
      <rPr>
        <vertAlign val="subscript"/>
        <sz val="11"/>
        <color theme="1"/>
        <rFont val="Cambria"/>
        <family val="1"/>
      </rPr>
      <t>4</t>
    </r>
    <r>
      <rPr>
        <sz val="11"/>
        <color theme="1"/>
        <rFont val="Cambria"/>
        <family val="1"/>
      </rPr>
      <t>H</t>
    </r>
    <r>
      <rPr>
        <vertAlign val="subscript"/>
        <sz val="11"/>
        <color theme="1"/>
        <rFont val="Cambria"/>
        <family val="1"/>
      </rPr>
      <t>5</t>
    </r>
    <r>
      <rPr>
        <sz val="11"/>
        <color theme="1"/>
        <rFont val="Cambria"/>
        <family val="1"/>
      </rPr>
      <t>F</t>
    </r>
    <r>
      <rPr>
        <vertAlign val="subscript"/>
        <sz val="11"/>
        <color theme="1"/>
        <rFont val="Cambria"/>
        <family val="1"/>
      </rPr>
      <t>5</t>
    </r>
  </si>
  <si>
    <r>
      <t>CH</t>
    </r>
    <r>
      <rPr>
        <vertAlign val="subscript"/>
        <sz val="11"/>
        <color theme="1"/>
        <rFont val="Cambria"/>
        <family val="1"/>
      </rPr>
      <t>3</t>
    </r>
    <r>
      <rPr>
        <sz val="11"/>
        <color theme="1"/>
        <rFont val="Cambria"/>
        <family val="1"/>
      </rPr>
      <t>F</t>
    </r>
  </si>
  <si>
    <r>
      <t>C</t>
    </r>
    <r>
      <rPr>
        <vertAlign val="subscript"/>
        <sz val="11"/>
        <color theme="1"/>
        <rFont val="Cambria"/>
        <family val="1"/>
      </rPr>
      <t>5</t>
    </r>
    <r>
      <rPr>
        <sz val="11"/>
        <color theme="1"/>
        <rFont val="Cambria"/>
        <family val="1"/>
      </rPr>
      <t>H</t>
    </r>
    <r>
      <rPr>
        <vertAlign val="subscript"/>
        <sz val="11"/>
        <color theme="1"/>
        <rFont val="Cambria"/>
        <family val="1"/>
      </rPr>
      <t>2</t>
    </r>
    <r>
      <rPr>
        <sz val="11"/>
        <color theme="1"/>
        <rFont val="Cambria"/>
        <family val="1"/>
      </rPr>
      <t>F</t>
    </r>
    <r>
      <rPr>
        <vertAlign val="subscript"/>
        <sz val="11"/>
        <color theme="1"/>
        <rFont val="Cambria"/>
        <family val="1"/>
      </rPr>
      <t>10</t>
    </r>
  </si>
  <si>
    <r>
      <t>CHF</t>
    </r>
    <r>
      <rPr>
        <vertAlign val="subscript"/>
        <sz val="11"/>
        <rFont val="Cambria"/>
        <family val="1"/>
      </rPr>
      <t>2</t>
    </r>
    <r>
      <rPr>
        <sz val="11"/>
        <color theme="1"/>
        <rFont val="Cambria"/>
        <family val="1"/>
      </rPr>
      <t>OCF</t>
    </r>
    <r>
      <rPr>
        <vertAlign val="subscript"/>
        <sz val="11"/>
        <rFont val="Cambria"/>
        <family val="1"/>
      </rPr>
      <t>3</t>
    </r>
  </si>
  <si>
    <r>
      <t>CHF</t>
    </r>
    <r>
      <rPr>
        <vertAlign val="subscript"/>
        <sz val="11"/>
        <rFont val="Cambria"/>
        <family val="1"/>
      </rPr>
      <t>2</t>
    </r>
    <r>
      <rPr>
        <sz val="11"/>
        <color theme="1"/>
        <rFont val="Cambria"/>
        <family val="1"/>
      </rPr>
      <t>OCHF</t>
    </r>
    <r>
      <rPr>
        <vertAlign val="subscript"/>
        <sz val="11"/>
        <rFont val="Cambria"/>
        <family val="1"/>
      </rPr>
      <t>2</t>
    </r>
  </si>
  <si>
    <r>
      <t>CH</t>
    </r>
    <r>
      <rPr>
        <vertAlign val="subscript"/>
        <sz val="11"/>
        <rFont val="Cambria"/>
        <family val="1"/>
      </rPr>
      <t>3</t>
    </r>
    <r>
      <rPr>
        <sz val="11"/>
        <color theme="1"/>
        <rFont val="Cambria"/>
        <family val="1"/>
      </rPr>
      <t>OCF</t>
    </r>
    <r>
      <rPr>
        <vertAlign val="subscript"/>
        <sz val="11"/>
        <rFont val="Cambria"/>
        <family val="1"/>
      </rPr>
      <t>3</t>
    </r>
  </si>
  <si>
    <r>
      <t>CHF</t>
    </r>
    <r>
      <rPr>
        <vertAlign val="subscript"/>
        <sz val="11"/>
        <rFont val="Cambria"/>
        <family val="1"/>
      </rPr>
      <t>2</t>
    </r>
    <r>
      <rPr>
        <sz val="11"/>
        <color theme="1"/>
        <rFont val="Cambria"/>
        <family val="1"/>
      </rPr>
      <t>OCF</t>
    </r>
    <r>
      <rPr>
        <vertAlign val="subscript"/>
        <sz val="11"/>
        <rFont val="Cambria"/>
        <family val="1"/>
      </rPr>
      <t>2</t>
    </r>
    <r>
      <rPr>
        <sz val="11"/>
        <color theme="1"/>
        <rFont val="Cambria"/>
        <family val="1"/>
      </rPr>
      <t>OCHF</t>
    </r>
    <r>
      <rPr>
        <vertAlign val="subscript"/>
        <sz val="11"/>
        <rFont val="Cambria"/>
        <family val="1"/>
      </rPr>
      <t>2</t>
    </r>
  </si>
  <si>
    <r>
      <t>CH</t>
    </r>
    <r>
      <rPr>
        <vertAlign val="subscript"/>
        <sz val="11"/>
        <rFont val="Cambria"/>
        <family val="1"/>
      </rPr>
      <t>3</t>
    </r>
    <r>
      <rPr>
        <sz val="11"/>
        <color theme="1"/>
        <rFont val="Cambria"/>
        <family val="1"/>
      </rPr>
      <t>OCF</t>
    </r>
    <r>
      <rPr>
        <vertAlign val="subscript"/>
        <sz val="11"/>
        <rFont val="Cambria"/>
        <family val="1"/>
      </rPr>
      <t>2</t>
    </r>
    <r>
      <rPr>
        <sz val="11"/>
        <color theme="1"/>
        <rFont val="Cambria"/>
        <family val="1"/>
      </rPr>
      <t>CF</t>
    </r>
    <r>
      <rPr>
        <vertAlign val="subscript"/>
        <sz val="11"/>
        <rFont val="Cambria"/>
        <family val="1"/>
      </rPr>
      <t>3</t>
    </r>
  </si>
  <si>
    <r>
      <t>CHF</t>
    </r>
    <r>
      <rPr>
        <vertAlign val="subscript"/>
        <sz val="11"/>
        <rFont val="Cambria"/>
        <family val="1"/>
      </rPr>
      <t>2</t>
    </r>
    <r>
      <rPr>
        <sz val="11"/>
        <color theme="1"/>
        <rFont val="Cambria"/>
        <family val="1"/>
      </rPr>
      <t>OCH</t>
    </r>
    <r>
      <rPr>
        <vertAlign val="subscript"/>
        <sz val="11"/>
        <rFont val="Cambria"/>
        <family val="1"/>
      </rPr>
      <t>2</t>
    </r>
    <r>
      <rPr>
        <sz val="11"/>
        <color theme="1"/>
        <rFont val="Cambria"/>
        <family val="1"/>
      </rPr>
      <t>CF</t>
    </r>
    <r>
      <rPr>
        <vertAlign val="subscript"/>
        <sz val="11"/>
        <rFont val="Cambria"/>
        <family val="1"/>
      </rPr>
      <t>3</t>
    </r>
  </si>
  <si>
    <r>
      <t>CH</t>
    </r>
    <r>
      <rPr>
        <vertAlign val="subscript"/>
        <sz val="11"/>
        <rFont val="Cambria"/>
        <family val="1"/>
      </rPr>
      <t>3</t>
    </r>
    <r>
      <rPr>
        <sz val="11"/>
        <color theme="1"/>
        <rFont val="Cambria"/>
        <family val="1"/>
      </rPr>
      <t>OCF</t>
    </r>
    <r>
      <rPr>
        <vertAlign val="subscript"/>
        <sz val="11"/>
        <rFont val="Cambria"/>
        <family val="1"/>
      </rPr>
      <t>2</t>
    </r>
    <r>
      <rPr>
        <sz val="11"/>
        <color theme="1"/>
        <rFont val="Cambria"/>
        <family val="1"/>
      </rPr>
      <t>CHF</t>
    </r>
    <r>
      <rPr>
        <vertAlign val="subscript"/>
        <sz val="11"/>
        <rFont val="Cambria"/>
        <family val="1"/>
      </rPr>
      <t>2</t>
    </r>
  </si>
  <si>
    <r>
      <t>CHF</t>
    </r>
    <r>
      <rPr>
        <vertAlign val="subscript"/>
        <sz val="11"/>
        <rFont val="Cambria"/>
        <family val="1"/>
      </rPr>
      <t>2</t>
    </r>
    <r>
      <rPr>
        <sz val="11"/>
        <color theme="1"/>
        <rFont val="Cambria"/>
        <family val="1"/>
      </rPr>
      <t>OCF</t>
    </r>
    <r>
      <rPr>
        <vertAlign val="subscript"/>
        <sz val="11"/>
        <rFont val="Cambria"/>
        <family val="1"/>
      </rPr>
      <t>2</t>
    </r>
    <r>
      <rPr>
        <sz val="11"/>
        <color theme="1"/>
        <rFont val="Cambria"/>
        <family val="1"/>
      </rPr>
      <t>CF</t>
    </r>
    <r>
      <rPr>
        <vertAlign val="subscript"/>
        <sz val="11"/>
        <rFont val="Cambria"/>
        <family val="1"/>
      </rPr>
      <t>2</t>
    </r>
    <r>
      <rPr>
        <sz val="11"/>
        <color theme="1"/>
        <rFont val="Cambria"/>
        <family val="1"/>
      </rPr>
      <t>OCHF</t>
    </r>
    <r>
      <rPr>
        <vertAlign val="subscript"/>
        <sz val="11"/>
        <rFont val="Cambria"/>
        <family val="1"/>
      </rPr>
      <t>2</t>
    </r>
  </si>
  <si>
    <r>
      <t>CH</t>
    </r>
    <r>
      <rPr>
        <vertAlign val="subscript"/>
        <sz val="11"/>
        <rFont val="Cambria"/>
        <family val="1"/>
      </rPr>
      <t>3</t>
    </r>
    <r>
      <rPr>
        <sz val="11"/>
        <color theme="1"/>
        <rFont val="Cambria"/>
        <family val="1"/>
      </rPr>
      <t>OCF</t>
    </r>
    <r>
      <rPr>
        <vertAlign val="subscript"/>
        <sz val="11"/>
        <rFont val="Cambria"/>
        <family val="1"/>
      </rPr>
      <t>2</t>
    </r>
    <r>
      <rPr>
        <sz val="11"/>
        <color theme="1"/>
        <rFont val="Cambria"/>
        <family val="1"/>
      </rPr>
      <t>CF</t>
    </r>
    <r>
      <rPr>
        <vertAlign val="subscript"/>
        <sz val="11"/>
        <rFont val="Cambria"/>
        <family val="1"/>
      </rPr>
      <t>2</t>
    </r>
    <r>
      <rPr>
        <sz val="11"/>
        <color theme="1"/>
        <rFont val="Cambria"/>
        <family val="1"/>
      </rPr>
      <t>CF</t>
    </r>
    <r>
      <rPr>
        <vertAlign val="subscript"/>
        <sz val="11"/>
        <rFont val="Cambria"/>
        <family val="1"/>
      </rPr>
      <t>3</t>
    </r>
  </si>
  <si>
    <r>
      <t>(CF</t>
    </r>
    <r>
      <rPr>
        <vertAlign val="subscript"/>
        <sz val="11"/>
        <rFont val="Cambria"/>
        <family val="1"/>
      </rPr>
      <t>3</t>
    </r>
    <r>
      <rPr>
        <sz val="11"/>
        <rFont val="Cambria"/>
        <family val="1"/>
      </rPr>
      <t>)</t>
    </r>
    <r>
      <rPr>
        <vertAlign val="subscript"/>
        <sz val="11"/>
        <rFont val="Cambria"/>
        <family val="1"/>
      </rPr>
      <t>2</t>
    </r>
    <r>
      <rPr>
        <sz val="11"/>
        <rFont val="Cambria"/>
        <family val="1"/>
      </rPr>
      <t>CFOCH</t>
    </r>
    <r>
      <rPr>
        <vertAlign val="subscript"/>
        <sz val="11"/>
        <rFont val="Cambria"/>
        <family val="1"/>
      </rPr>
      <t>3</t>
    </r>
  </si>
  <si>
    <r>
      <t>CHF</t>
    </r>
    <r>
      <rPr>
        <vertAlign val="subscript"/>
        <sz val="11"/>
        <rFont val="Cambria"/>
        <family val="1"/>
      </rPr>
      <t>2</t>
    </r>
    <r>
      <rPr>
        <sz val="11"/>
        <color theme="1"/>
        <rFont val="Cambria"/>
        <family val="1"/>
      </rPr>
      <t>CF</t>
    </r>
    <r>
      <rPr>
        <vertAlign val="subscript"/>
        <sz val="11"/>
        <rFont val="Cambria"/>
        <family val="1"/>
      </rPr>
      <t>2</t>
    </r>
    <r>
      <rPr>
        <sz val="11"/>
        <color theme="1"/>
        <rFont val="Cambria"/>
        <family val="1"/>
      </rPr>
      <t>OCH</t>
    </r>
    <r>
      <rPr>
        <vertAlign val="subscript"/>
        <sz val="11"/>
        <rFont val="Cambria"/>
        <family val="1"/>
      </rPr>
      <t>2</t>
    </r>
    <r>
      <rPr>
        <sz val="11"/>
        <color theme="1"/>
        <rFont val="Cambria"/>
        <family val="1"/>
      </rPr>
      <t>CF</t>
    </r>
    <r>
      <rPr>
        <vertAlign val="subscript"/>
        <sz val="11"/>
        <rFont val="Cambria"/>
        <family val="1"/>
      </rPr>
      <t>3</t>
    </r>
  </si>
  <si>
    <r>
      <t>CH</t>
    </r>
    <r>
      <rPr>
        <vertAlign val="subscript"/>
        <sz val="11"/>
        <rFont val="Cambria"/>
        <family val="1"/>
      </rPr>
      <t>3</t>
    </r>
    <r>
      <rPr>
        <sz val="11"/>
        <color theme="1"/>
        <rFont val="Cambria"/>
        <family val="1"/>
      </rPr>
      <t>OCF</t>
    </r>
    <r>
      <rPr>
        <vertAlign val="subscript"/>
        <sz val="11"/>
        <rFont val="Cambria"/>
        <family val="1"/>
      </rPr>
      <t>2</t>
    </r>
    <r>
      <rPr>
        <sz val="11"/>
        <color theme="1"/>
        <rFont val="Cambria"/>
        <family val="1"/>
      </rPr>
      <t>CF</t>
    </r>
    <r>
      <rPr>
        <vertAlign val="subscript"/>
        <sz val="11"/>
        <rFont val="Cambria"/>
        <family val="1"/>
      </rPr>
      <t>2</t>
    </r>
    <r>
      <rPr>
        <sz val="11"/>
        <color theme="1"/>
        <rFont val="Cambria"/>
        <family val="1"/>
      </rPr>
      <t>CHF</t>
    </r>
    <r>
      <rPr>
        <vertAlign val="subscript"/>
        <sz val="11"/>
        <rFont val="Cambria"/>
        <family val="1"/>
      </rPr>
      <t>2</t>
    </r>
  </si>
  <si>
    <r>
      <t>CHF</t>
    </r>
    <r>
      <rPr>
        <vertAlign val="subscript"/>
        <sz val="11"/>
        <rFont val="Cambria"/>
        <family val="1"/>
      </rPr>
      <t>2</t>
    </r>
    <r>
      <rPr>
        <sz val="11"/>
        <rFont val="Cambria"/>
        <family val="1"/>
      </rPr>
      <t>CF</t>
    </r>
    <r>
      <rPr>
        <vertAlign val="subscript"/>
        <sz val="11"/>
        <rFont val="Cambria"/>
        <family val="1"/>
      </rPr>
      <t>2</t>
    </r>
    <r>
      <rPr>
        <sz val="11"/>
        <rFont val="Cambria"/>
        <family val="1"/>
      </rPr>
      <t>CH</t>
    </r>
    <r>
      <rPr>
        <vertAlign val="subscript"/>
        <sz val="11"/>
        <rFont val="Cambria"/>
        <family val="1"/>
      </rPr>
      <t>2</t>
    </r>
    <r>
      <rPr>
        <sz val="11"/>
        <rFont val="Cambria"/>
        <family val="1"/>
      </rPr>
      <t>OCHF</t>
    </r>
    <r>
      <rPr>
        <vertAlign val="subscript"/>
        <sz val="11"/>
        <rFont val="Cambria"/>
        <family val="1"/>
      </rPr>
      <t>2</t>
    </r>
  </si>
  <si>
    <r>
      <t>CHF</t>
    </r>
    <r>
      <rPr>
        <vertAlign val="subscript"/>
        <sz val="11"/>
        <rFont val="Cambria"/>
        <family val="1"/>
      </rPr>
      <t>2</t>
    </r>
    <r>
      <rPr>
        <sz val="11"/>
        <rFont val="Cambria"/>
        <family val="1"/>
      </rPr>
      <t>CF</t>
    </r>
    <r>
      <rPr>
        <vertAlign val="subscript"/>
        <sz val="11"/>
        <rFont val="Cambria"/>
        <family val="1"/>
      </rPr>
      <t>2</t>
    </r>
    <r>
      <rPr>
        <sz val="11"/>
        <rFont val="Cambria"/>
        <family val="1"/>
      </rPr>
      <t>OCH</t>
    </r>
    <r>
      <rPr>
        <vertAlign val="subscript"/>
        <sz val="11"/>
        <rFont val="Cambria"/>
        <family val="1"/>
      </rPr>
      <t>2</t>
    </r>
    <r>
      <rPr>
        <sz val="11"/>
        <rFont val="Cambria"/>
        <family val="1"/>
      </rPr>
      <t>CH</t>
    </r>
    <r>
      <rPr>
        <vertAlign val="subscript"/>
        <sz val="11"/>
        <rFont val="Cambria"/>
        <family val="1"/>
      </rPr>
      <t>3</t>
    </r>
  </si>
  <si>
    <r>
      <t>CHF</t>
    </r>
    <r>
      <rPr>
        <vertAlign val="subscript"/>
        <sz val="11"/>
        <rFont val="Cambria"/>
        <family val="1"/>
      </rPr>
      <t>2</t>
    </r>
    <r>
      <rPr>
        <sz val="11"/>
        <color theme="1"/>
        <rFont val="Cambria"/>
        <family val="1"/>
      </rPr>
      <t>OCF</t>
    </r>
    <r>
      <rPr>
        <vertAlign val="subscript"/>
        <sz val="11"/>
        <rFont val="Cambria"/>
        <family val="1"/>
      </rPr>
      <t>2</t>
    </r>
    <r>
      <rPr>
        <sz val="11"/>
        <color theme="1"/>
        <rFont val="Cambria"/>
        <family val="1"/>
      </rPr>
      <t>OC</t>
    </r>
    <r>
      <rPr>
        <vertAlign val="subscript"/>
        <sz val="11"/>
        <rFont val="Cambria"/>
        <family val="1"/>
      </rPr>
      <t>2</t>
    </r>
    <r>
      <rPr>
        <sz val="11"/>
        <color theme="1"/>
        <rFont val="Cambria"/>
        <family val="1"/>
      </rPr>
      <t>F</t>
    </r>
    <r>
      <rPr>
        <vertAlign val="subscript"/>
        <sz val="11"/>
        <rFont val="Cambria"/>
        <family val="1"/>
      </rPr>
      <t>4</t>
    </r>
    <r>
      <rPr>
        <sz val="11"/>
        <color theme="1"/>
        <rFont val="Cambria"/>
        <family val="1"/>
      </rPr>
      <t>OCHF</t>
    </r>
    <r>
      <rPr>
        <vertAlign val="subscript"/>
        <sz val="11"/>
        <rFont val="Cambria"/>
        <family val="1"/>
      </rPr>
      <t>2</t>
    </r>
  </si>
  <si>
    <r>
      <t>C</t>
    </r>
    <r>
      <rPr>
        <vertAlign val="subscript"/>
        <sz val="11"/>
        <rFont val="Cambria"/>
        <family val="1"/>
      </rPr>
      <t>4</t>
    </r>
    <r>
      <rPr>
        <sz val="11"/>
        <color theme="1"/>
        <rFont val="Cambria"/>
        <family val="1"/>
      </rPr>
      <t>F</t>
    </r>
    <r>
      <rPr>
        <vertAlign val="subscript"/>
        <sz val="11"/>
        <rFont val="Cambria"/>
        <family val="1"/>
      </rPr>
      <t>9</t>
    </r>
    <r>
      <rPr>
        <sz val="11"/>
        <color theme="1"/>
        <rFont val="Cambria"/>
        <family val="1"/>
      </rPr>
      <t>OCH</t>
    </r>
    <r>
      <rPr>
        <vertAlign val="subscript"/>
        <sz val="11"/>
        <rFont val="Cambria"/>
        <family val="1"/>
      </rPr>
      <t>3</t>
    </r>
  </si>
  <si>
    <r>
      <t>C</t>
    </r>
    <r>
      <rPr>
        <vertAlign val="subscript"/>
        <sz val="11"/>
        <rFont val="Cambria"/>
        <family val="1"/>
      </rPr>
      <t>4</t>
    </r>
    <r>
      <rPr>
        <sz val="11"/>
        <color theme="1"/>
        <rFont val="Cambria"/>
        <family val="1"/>
      </rPr>
      <t>F</t>
    </r>
    <r>
      <rPr>
        <vertAlign val="subscript"/>
        <sz val="11"/>
        <rFont val="Cambria"/>
        <family val="1"/>
      </rPr>
      <t>9</t>
    </r>
    <r>
      <rPr>
        <sz val="11"/>
        <color theme="1"/>
        <rFont val="Cambria"/>
        <family val="1"/>
      </rPr>
      <t>OC</t>
    </r>
    <r>
      <rPr>
        <vertAlign val="subscript"/>
        <sz val="11"/>
        <rFont val="Cambria"/>
        <family val="1"/>
      </rPr>
      <t>2</t>
    </r>
    <r>
      <rPr>
        <sz val="11"/>
        <color theme="1"/>
        <rFont val="Cambria"/>
        <family val="1"/>
      </rPr>
      <t>H</t>
    </r>
    <r>
      <rPr>
        <vertAlign val="subscript"/>
        <sz val="11"/>
        <rFont val="Cambria"/>
        <family val="1"/>
      </rPr>
      <t>5</t>
    </r>
  </si>
  <si>
    <r>
      <t>NF</t>
    </r>
    <r>
      <rPr>
        <vertAlign val="subscript"/>
        <sz val="11"/>
        <color theme="1"/>
        <rFont val="Cambria"/>
        <family val="1"/>
      </rPr>
      <t>3</t>
    </r>
  </si>
  <si>
    <r>
      <t>C</t>
    </r>
    <r>
      <rPr>
        <vertAlign val="subscript"/>
        <sz val="11"/>
        <color theme="1"/>
        <rFont val="Cambria"/>
        <family val="1"/>
      </rPr>
      <t>2</t>
    </r>
    <r>
      <rPr>
        <sz val="11"/>
        <color theme="1"/>
        <rFont val="Cambria"/>
        <family val="1"/>
      </rPr>
      <t>F</t>
    </r>
    <r>
      <rPr>
        <vertAlign val="subscript"/>
        <sz val="11"/>
        <color theme="1"/>
        <rFont val="Cambria"/>
        <family val="1"/>
      </rPr>
      <t>6</t>
    </r>
  </si>
  <si>
    <r>
      <t>CF</t>
    </r>
    <r>
      <rPr>
        <vertAlign val="subscript"/>
        <sz val="11"/>
        <color theme="1"/>
        <rFont val="Cambria"/>
        <family val="1"/>
      </rPr>
      <t>4</t>
    </r>
  </si>
  <si>
    <r>
      <t>C</t>
    </r>
    <r>
      <rPr>
        <vertAlign val="subscript"/>
        <sz val="11"/>
        <color theme="1"/>
        <rFont val="Cambria"/>
        <family val="1"/>
      </rPr>
      <t>3</t>
    </r>
    <r>
      <rPr>
        <sz val="11"/>
        <color theme="1"/>
        <rFont val="Cambria"/>
        <family val="1"/>
      </rPr>
      <t>F</t>
    </r>
    <r>
      <rPr>
        <vertAlign val="subscript"/>
        <sz val="11"/>
        <color theme="1"/>
        <rFont val="Cambria"/>
        <family val="1"/>
      </rPr>
      <t>8</t>
    </r>
  </si>
  <si>
    <r>
      <t>C</t>
    </r>
    <r>
      <rPr>
        <vertAlign val="subscript"/>
        <sz val="11"/>
        <color theme="1"/>
        <rFont val="Cambria"/>
        <family val="1"/>
      </rPr>
      <t>4</t>
    </r>
    <r>
      <rPr>
        <sz val="11"/>
        <color theme="1"/>
        <rFont val="Cambria"/>
        <family val="1"/>
      </rPr>
      <t>F</t>
    </r>
    <r>
      <rPr>
        <vertAlign val="subscript"/>
        <sz val="11"/>
        <color theme="1"/>
        <rFont val="Cambria"/>
        <family val="1"/>
      </rPr>
      <t>10</t>
    </r>
  </si>
  <si>
    <r>
      <t>c-C</t>
    </r>
    <r>
      <rPr>
        <vertAlign val="subscript"/>
        <sz val="11"/>
        <color theme="1"/>
        <rFont val="Cambria"/>
        <family val="1"/>
      </rPr>
      <t>4</t>
    </r>
    <r>
      <rPr>
        <sz val="11"/>
        <color theme="1"/>
        <rFont val="Cambria"/>
        <family val="1"/>
      </rPr>
      <t>F</t>
    </r>
    <r>
      <rPr>
        <vertAlign val="subscript"/>
        <sz val="11"/>
        <color theme="1"/>
        <rFont val="Cambria"/>
        <family val="1"/>
      </rPr>
      <t>8</t>
    </r>
  </si>
  <si>
    <r>
      <t>C</t>
    </r>
    <r>
      <rPr>
        <vertAlign val="subscript"/>
        <sz val="11"/>
        <color theme="1"/>
        <rFont val="Cambria"/>
        <family val="1"/>
      </rPr>
      <t>5</t>
    </r>
    <r>
      <rPr>
        <sz val="11"/>
        <color theme="1"/>
        <rFont val="Cambria"/>
        <family val="1"/>
      </rPr>
      <t>F</t>
    </r>
    <r>
      <rPr>
        <vertAlign val="subscript"/>
        <sz val="11"/>
        <color theme="1"/>
        <rFont val="Cambria"/>
        <family val="1"/>
      </rPr>
      <t>12</t>
    </r>
  </si>
  <si>
    <r>
      <t>C</t>
    </r>
    <r>
      <rPr>
        <vertAlign val="subscript"/>
        <sz val="11"/>
        <color theme="1"/>
        <rFont val="Cambria"/>
        <family val="1"/>
      </rPr>
      <t>6</t>
    </r>
    <r>
      <rPr>
        <sz val="11"/>
        <color theme="1"/>
        <rFont val="Cambria"/>
        <family val="1"/>
      </rPr>
      <t>F</t>
    </r>
    <r>
      <rPr>
        <vertAlign val="subscript"/>
        <sz val="11"/>
        <color theme="1"/>
        <rFont val="Cambria"/>
        <family val="1"/>
      </rPr>
      <t>14</t>
    </r>
  </si>
  <si>
    <r>
      <t>C</t>
    </r>
    <r>
      <rPr>
        <vertAlign val="subscript"/>
        <sz val="11"/>
        <color theme="1"/>
        <rFont val="Cambria"/>
        <family val="1"/>
      </rPr>
      <t>10</t>
    </r>
    <r>
      <rPr>
        <sz val="11"/>
        <color theme="1"/>
        <rFont val="Cambria"/>
        <family val="1"/>
      </rPr>
      <t>F</t>
    </r>
    <r>
      <rPr>
        <vertAlign val="subscript"/>
        <sz val="11"/>
        <color theme="1"/>
        <rFont val="Cambria"/>
        <family val="1"/>
      </rPr>
      <t>18</t>
    </r>
  </si>
  <si>
    <r>
      <t>CF</t>
    </r>
    <r>
      <rPr>
        <vertAlign val="subscript"/>
        <sz val="11"/>
        <rFont val="Cambria"/>
        <family val="1"/>
      </rPr>
      <t>3</t>
    </r>
    <r>
      <rPr>
        <sz val="11"/>
        <color theme="1"/>
        <rFont val="Cambria"/>
        <family val="1"/>
      </rPr>
      <t>OCF(CF</t>
    </r>
    <r>
      <rPr>
        <vertAlign val="subscript"/>
        <sz val="11"/>
        <rFont val="Cambria"/>
        <family val="1"/>
      </rPr>
      <t>3</t>
    </r>
    <r>
      <rPr>
        <sz val="11"/>
        <color theme="1"/>
        <rFont val="Cambria"/>
        <family val="1"/>
      </rPr>
      <t>)CF</t>
    </r>
    <r>
      <rPr>
        <vertAlign val="subscript"/>
        <sz val="11"/>
        <rFont val="Cambria"/>
        <family val="1"/>
      </rPr>
      <t>2</t>
    </r>
    <r>
      <rPr>
        <sz val="11"/>
        <color theme="1"/>
        <rFont val="Cambria"/>
        <family val="1"/>
      </rPr>
      <t>OCF</t>
    </r>
    <r>
      <rPr>
        <vertAlign val="subscript"/>
        <sz val="11"/>
        <rFont val="Cambria"/>
        <family val="1"/>
      </rPr>
      <t>2</t>
    </r>
    <r>
      <rPr>
        <sz val="11"/>
        <color theme="1"/>
        <rFont val="Cambria"/>
        <family val="1"/>
      </rPr>
      <t>OCF</t>
    </r>
    <r>
      <rPr>
        <vertAlign val="subscript"/>
        <sz val="11"/>
        <rFont val="Cambria"/>
        <family val="1"/>
      </rPr>
      <t>3</t>
    </r>
  </si>
  <si>
    <r>
      <t>SF</t>
    </r>
    <r>
      <rPr>
        <vertAlign val="subscript"/>
        <sz val="11"/>
        <rFont val="Cambria"/>
        <family val="1"/>
      </rPr>
      <t>5</t>
    </r>
    <r>
      <rPr>
        <sz val="11"/>
        <color theme="1"/>
        <rFont val="Cambria"/>
        <family val="1"/>
      </rPr>
      <t>CF</t>
    </r>
    <r>
      <rPr>
        <vertAlign val="subscript"/>
        <sz val="11"/>
        <rFont val="Cambria"/>
        <family val="1"/>
      </rPr>
      <t>3</t>
    </r>
  </si>
  <si>
    <r>
      <t>SF</t>
    </r>
    <r>
      <rPr>
        <vertAlign val="subscript"/>
        <sz val="11"/>
        <color theme="1"/>
        <rFont val="Cambria"/>
        <family val="1"/>
      </rPr>
      <t>6</t>
    </r>
  </si>
  <si>
    <r>
      <t>Biogeense CO</t>
    </r>
    <r>
      <rPr>
        <b/>
        <vertAlign val="subscript"/>
        <sz val="11"/>
        <color rgb="FF44546A"/>
        <rFont val="Cambria"/>
        <family val="1"/>
      </rPr>
      <t>2</t>
    </r>
    <r>
      <rPr>
        <b/>
        <sz val="11"/>
        <color rgb="FF44546A"/>
        <rFont val="Cambria"/>
        <family val="1"/>
      </rPr>
      <t xml:space="preserve"> tegur</t>
    </r>
  </si>
  <si>
    <r>
      <t>kg CO</t>
    </r>
    <r>
      <rPr>
        <vertAlign val="subscript"/>
        <sz val="11"/>
        <color theme="1"/>
        <rFont val="Cambria"/>
        <family val="1"/>
      </rPr>
      <t xml:space="preserve">2 </t>
    </r>
    <r>
      <rPr>
        <sz val="11"/>
        <color theme="1"/>
        <rFont val="Cambria"/>
        <family val="1"/>
      </rPr>
      <t>ekv/kWh</t>
    </r>
  </si>
  <si>
    <r>
      <t>kg CO</t>
    </r>
    <r>
      <rPr>
        <vertAlign val="subscript"/>
        <sz val="11"/>
        <color theme="1"/>
        <rFont val="Cambria"/>
        <family val="1"/>
      </rPr>
      <t>2</t>
    </r>
    <r>
      <rPr>
        <sz val="11"/>
        <color theme="1"/>
        <rFont val="Cambria"/>
        <family val="1"/>
      </rPr>
      <t>/kWh</t>
    </r>
  </si>
  <si>
    <r>
      <t>kg CO</t>
    </r>
    <r>
      <rPr>
        <sz val="8"/>
        <color theme="1"/>
        <rFont val="Cambria"/>
        <family val="1"/>
      </rPr>
      <t xml:space="preserve">2 </t>
    </r>
    <r>
      <rPr>
        <sz val="11"/>
        <color theme="1"/>
        <rFont val="Cambria"/>
        <family val="1"/>
      </rPr>
      <t>ekv/kWh</t>
    </r>
  </si>
  <si>
    <r>
      <t>ORGANISATSIOONI KHG JALAJÄLG (t CO</t>
    </r>
    <r>
      <rPr>
        <b/>
        <vertAlign val="subscript"/>
        <sz val="11"/>
        <color theme="0"/>
        <rFont val="Cambria"/>
        <family val="1"/>
      </rPr>
      <t>2</t>
    </r>
    <r>
      <rPr>
        <b/>
        <sz val="11"/>
        <color theme="0"/>
        <rFont val="Cambria"/>
        <family val="1"/>
      </rPr>
      <t xml:space="preserve"> ekv)</t>
    </r>
  </si>
  <si>
    <r>
      <t>ORGANISATSIOONI KHG JALAJÄLG ÜKSUSTE KAUPA (t CO</t>
    </r>
    <r>
      <rPr>
        <b/>
        <vertAlign val="subscript"/>
        <sz val="11"/>
        <color theme="0"/>
        <rFont val="Cambria"/>
        <family val="1"/>
      </rPr>
      <t>2</t>
    </r>
    <r>
      <rPr>
        <b/>
        <sz val="11"/>
        <color theme="0"/>
        <rFont val="Cambria"/>
        <family val="1"/>
      </rPr>
      <t xml:space="preserve"> ekv) </t>
    </r>
  </si>
  <si>
    <r>
      <rPr>
        <b/>
        <sz val="11"/>
        <color theme="1"/>
        <rFont val="Cambria"/>
        <family val="1"/>
      </rPr>
      <t>• Investeeringu- või projektispetsiifilise meetodi</t>
    </r>
    <r>
      <rPr>
        <sz val="11"/>
        <color theme="1"/>
        <rFont val="Cambria"/>
        <family val="1"/>
      </rPr>
      <t xml:space="preserve"> kasutamisel kogub ettevõte investeeringuobjektidelt või -projektidelt KHG heite andmeid, mistõttu eriheitetegurit ei ole vaja kasutada.</t>
    </r>
  </si>
  <si>
    <r>
      <rPr>
        <b/>
        <sz val="11"/>
        <color theme="1"/>
        <rFont val="Cambria"/>
        <family val="1"/>
      </rPr>
      <t>• Keskmiste andmete meetod</t>
    </r>
    <r>
      <rPr>
        <sz val="11"/>
        <color theme="1"/>
        <rFont val="Cambria"/>
        <family val="1"/>
      </rPr>
      <t xml:space="preserve"> kasutab omakapitali investeeringutega seotud mõjuala 1 ja 2 heitkoguste hindamiseks sisend-väljund andmeid (Environmentally-extended input-output, EEIO).</t>
    </r>
  </si>
  <si>
    <r>
      <t>KHG heide arvutatakse järgmiselt: investeeritava ettevõtte kogutulu (€) × eriheitetegur investeerimisobjekti sektoris (kg CO</t>
    </r>
    <r>
      <rPr>
        <vertAlign val="subscript"/>
        <sz val="11"/>
        <color theme="1"/>
        <rFont val="Cambria"/>
        <family val="1"/>
      </rPr>
      <t>2</t>
    </r>
    <r>
      <rPr>
        <sz val="11"/>
        <color theme="1"/>
        <rFont val="Cambria"/>
        <family val="1"/>
      </rPr>
      <t xml:space="preserve"> ekv/€ tulu) × omakapitali osakaal (%)</t>
    </r>
  </si>
  <si>
    <r>
      <t>Ehitusetapis: projekti ehitusmaksumus aruandeaastal (€) x vastava ehitussektori eriheitetegur (kg CO</t>
    </r>
    <r>
      <rPr>
        <vertAlign val="subscript"/>
        <sz val="11"/>
        <color theme="1"/>
        <rFont val="Cambria"/>
        <family val="1"/>
      </rPr>
      <t>2</t>
    </r>
    <r>
      <rPr>
        <sz val="11"/>
        <color theme="1"/>
        <rFont val="Cambria"/>
        <family val="1"/>
      </rPr>
      <t xml:space="preserve"> ekv/€ tulu) x osa projekti kogukuludest (%)</t>
    </r>
  </si>
  <si>
    <r>
      <t>Kasutusetapis: projekti tulu aruandeaastal (€) x asjaomase tegevussektori eriheitetegur (kg CO</t>
    </r>
    <r>
      <rPr>
        <vertAlign val="subscript"/>
        <sz val="11"/>
        <color theme="1"/>
        <rFont val="Cambria"/>
        <family val="1"/>
      </rPr>
      <t>2</t>
    </r>
    <r>
      <rPr>
        <sz val="11"/>
        <color theme="1"/>
        <rFont val="Cambria"/>
        <family val="1"/>
      </rPr>
      <t xml:space="preserve"> ekv/€ tulu) x osa projekti kogukuludest (%)</t>
    </r>
  </si>
  <si>
    <r>
      <t>Tabeli lõpus esitatakse organisatsiooni finantsinvesteeringutega seotud KHG koguheide (kg ja t CO</t>
    </r>
    <r>
      <rPr>
        <vertAlign val="subscript"/>
        <sz val="11"/>
        <color theme="1"/>
        <rFont val="Cambria"/>
        <family val="1"/>
      </rPr>
      <t xml:space="preserve">2 </t>
    </r>
    <r>
      <rPr>
        <sz val="11"/>
        <color theme="1"/>
        <rFont val="Cambria"/>
        <family val="1"/>
      </rPr>
      <t xml:space="preserve">ekv kohta). </t>
    </r>
  </si>
  <si>
    <r>
      <t>t CO</t>
    </r>
    <r>
      <rPr>
        <b/>
        <vertAlign val="subscript"/>
        <sz val="11"/>
        <color theme="3"/>
        <rFont val="Cambria"/>
        <family val="1"/>
      </rPr>
      <t>2</t>
    </r>
    <r>
      <rPr>
        <b/>
        <sz val="11"/>
        <color theme="3"/>
        <rFont val="Cambria"/>
        <family val="1"/>
      </rPr>
      <t xml:space="preserve"> ekv</t>
    </r>
  </si>
  <si>
    <r>
      <t>kg CO</t>
    </r>
    <r>
      <rPr>
        <b/>
        <vertAlign val="subscript"/>
        <sz val="11"/>
        <color theme="3"/>
        <rFont val="Cambria"/>
        <family val="1"/>
      </rPr>
      <t>2</t>
    </r>
    <r>
      <rPr>
        <b/>
        <sz val="11"/>
        <color theme="3"/>
        <rFont val="Cambria"/>
        <family val="1"/>
      </rPr>
      <t xml:space="preserve"> ekv/€ tulu</t>
    </r>
  </si>
  <si>
    <r>
      <t>kg CO</t>
    </r>
    <r>
      <rPr>
        <b/>
        <vertAlign val="subscript"/>
        <sz val="11"/>
        <color theme="3"/>
        <rFont val="Cambria"/>
        <family val="1"/>
      </rPr>
      <t xml:space="preserve">2 </t>
    </r>
    <r>
      <rPr>
        <b/>
        <sz val="11"/>
        <color theme="3"/>
        <rFont val="Cambria"/>
        <family val="1"/>
      </rPr>
      <t>ekv</t>
    </r>
  </si>
  <si>
    <r>
      <t>t CO</t>
    </r>
    <r>
      <rPr>
        <b/>
        <vertAlign val="subscript"/>
        <sz val="11"/>
        <color theme="3"/>
        <rFont val="Cambria"/>
        <family val="1"/>
      </rPr>
      <t xml:space="preserve">2 </t>
    </r>
    <r>
      <rPr>
        <b/>
        <sz val="11"/>
        <color theme="3"/>
        <rFont val="Cambria"/>
        <family val="1"/>
      </rPr>
      <t>ekv</t>
    </r>
  </si>
  <si>
    <r>
      <t>Tabeli lõpus esitatakse organisatsiooni poolt müüdud toodetega seotud KHG koguheide (kg ja t CO</t>
    </r>
    <r>
      <rPr>
        <vertAlign val="subscript"/>
        <sz val="11"/>
        <color theme="1"/>
        <rFont val="Cambria"/>
        <family val="1"/>
      </rPr>
      <t xml:space="preserve">2 </t>
    </r>
    <r>
      <rPr>
        <sz val="11"/>
        <color theme="1"/>
        <rFont val="Cambria"/>
        <family val="1"/>
      </rPr>
      <t xml:space="preserve">ekv kohta). </t>
    </r>
  </si>
  <si>
    <r>
      <t>Tabeli lõpus esitatakse organisatsiooni sisseostetud toodetega seotud KHG koguheide (kg ja t CO</t>
    </r>
    <r>
      <rPr>
        <vertAlign val="subscript"/>
        <sz val="11"/>
        <color theme="1"/>
        <rFont val="Cambria"/>
        <family val="1"/>
      </rPr>
      <t xml:space="preserve">2 </t>
    </r>
    <r>
      <rPr>
        <sz val="11"/>
        <color theme="1"/>
        <rFont val="Cambria"/>
        <family val="1"/>
      </rPr>
      <t xml:space="preserve">ekv kohta). </t>
    </r>
  </si>
  <si>
    <r>
      <t>1 m</t>
    </r>
    <r>
      <rPr>
        <vertAlign val="superscript"/>
        <sz val="11"/>
        <color theme="1"/>
        <rFont val="Cambria"/>
        <family val="1"/>
      </rPr>
      <t>3</t>
    </r>
    <r>
      <rPr>
        <sz val="11"/>
        <color theme="1"/>
        <rFont val="Cambria"/>
        <family val="1"/>
      </rPr>
      <t>=</t>
    </r>
  </si>
  <si>
    <r>
      <t>Tabeli lõpus esitatakse organisatsiooni poolt (liigiti)kogutud olmejäätmeliikide käitlemisega seotud KHG koguheide (kg ja t CO</t>
    </r>
    <r>
      <rPr>
        <vertAlign val="subscript"/>
        <sz val="11"/>
        <color theme="1"/>
        <rFont val="Cambria"/>
        <family val="1"/>
      </rPr>
      <t xml:space="preserve">2 </t>
    </r>
    <r>
      <rPr>
        <sz val="11"/>
        <color theme="1"/>
        <rFont val="Cambria"/>
        <family val="1"/>
      </rPr>
      <t xml:space="preserve">ekv kohta). </t>
    </r>
  </si>
  <si>
    <r>
      <t>Jäätmete kogus (m</t>
    </r>
    <r>
      <rPr>
        <b/>
        <vertAlign val="superscript"/>
        <sz val="11"/>
        <color theme="3"/>
        <rFont val="Cambria"/>
        <family val="1"/>
      </rPr>
      <t>3</t>
    </r>
    <r>
      <rPr>
        <b/>
        <sz val="11"/>
        <color theme="3"/>
        <rFont val="Cambria"/>
        <family val="1"/>
      </rPr>
      <t>)</t>
    </r>
  </si>
  <si>
    <r>
      <t>kg CO</t>
    </r>
    <r>
      <rPr>
        <b/>
        <vertAlign val="subscript"/>
        <sz val="11"/>
        <color theme="3"/>
        <rFont val="Cambria"/>
        <family val="1"/>
      </rPr>
      <t>2</t>
    </r>
    <r>
      <rPr>
        <b/>
        <sz val="11"/>
        <color theme="3"/>
        <rFont val="Cambria"/>
        <family val="1"/>
      </rPr>
      <t xml:space="preserve"> ekv/t</t>
    </r>
  </si>
  <si>
    <r>
      <t>Käesolev mudel võtab arvesse järgmised peamised kütuste põletamisel tekkivad KHG-d: CO</t>
    </r>
    <r>
      <rPr>
        <vertAlign val="subscript"/>
        <sz val="11"/>
        <color theme="1"/>
        <rFont val="Cambria"/>
        <family val="1"/>
      </rPr>
      <t>2</t>
    </r>
    <r>
      <rPr>
        <sz val="11"/>
        <color theme="1"/>
        <rFont val="Cambria"/>
        <family val="1"/>
      </rPr>
      <t>, CH</t>
    </r>
    <r>
      <rPr>
        <vertAlign val="subscript"/>
        <sz val="11"/>
        <color theme="1"/>
        <rFont val="Cambria"/>
        <family val="1"/>
      </rPr>
      <t>4</t>
    </r>
    <r>
      <rPr>
        <sz val="11"/>
        <color theme="1"/>
        <rFont val="Cambria"/>
        <family val="1"/>
      </rPr>
      <t>, N</t>
    </r>
    <r>
      <rPr>
        <vertAlign val="subscript"/>
        <sz val="11"/>
        <color theme="1"/>
        <rFont val="Cambria"/>
        <family val="1"/>
      </rPr>
      <t>2</t>
    </r>
    <r>
      <rPr>
        <sz val="11"/>
        <color theme="1"/>
        <rFont val="Cambria"/>
        <family val="1"/>
      </rPr>
      <t>O, mis koondarvestuses tuuakse välja CO</t>
    </r>
    <r>
      <rPr>
        <vertAlign val="subscript"/>
        <sz val="11"/>
        <color theme="1"/>
        <rFont val="Cambria"/>
        <family val="1"/>
      </rPr>
      <t>2</t>
    </r>
    <r>
      <rPr>
        <sz val="11"/>
        <color theme="1"/>
        <rFont val="Cambria"/>
        <family val="1"/>
      </rPr>
      <t xml:space="preserve"> ekvivalendina.</t>
    </r>
  </si>
  <si>
    <r>
      <rPr>
        <b/>
        <sz val="11"/>
        <color theme="1"/>
        <rFont val="Cambria"/>
        <family val="1"/>
      </rPr>
      <t>Tabel 1: sõiduauto, jalgratas, takso, mootorratas, mopeed, jalgsi</t>
    </r>
    <r>
      <rPr>
        <sz val="11"/>
        <color theme="1"/>
        <rFont val="Cambria"/>
        <family val="1"/>
      </rPr>
      <t xml:space="preserve">. Nende sõiduvahendite kasutamise või liikumisviiside puhul  on soovitatav kasutada vahemaa (km) põhist andmekogumist ja arvestust. </t>
    </r>
  </si>
  <si>
    <r>
      <t xml:space="preserve">Tabel 2: Ühistransport (buss, tramm, troll, rong, takso). </t>
    </r>
    <r>
      <rPr>
        <sz val="11"/>
        <color theme="1"/>
        <rFont val="Cambria"/>
        <family val="1"/>
      </rPr>
      <t xml:space="preserve">Ühissõidukitega tööle-koju sõitude arvestamisel on soovitatav kasutada arvestusühikuna sõitjakilomeetrit. </t>
    </r>
  </si>
  <si>
    <r>
      <t>Sellisel juhul valib mudel automaatselt asjakohase eriheiteteguri ja arvutab välja valitud tööle-koju sõidu/liikumisviisiga tuleneva KHG heitkoguse (nii kg CO</t>
    </r>
    <r>
      <rPr>
        <vertAlign val="subscript"/>
        <sz val="11"/>
        <color theme="1"/>
        <rFont val="Cambria"/>
        <family val="1"/>
      </rPr>
      <t xml:space="preserve">2 </t>
    </r>
    <r>
      <rPr>
        <sz val="11"/>
        <color theme="1"/>
        <rFont val="Cambria"/>
        <family val="1"/>
      </rPr>
      <t>ekv kui ka tonni CO</t>
    </r>
    <r>
      <rPr>
        <vertAlign val="subscript"/>
        <sz val="11"/>
        <color theme="1"/>
        <rFont val="Cambria"/>
        <family val="1"/>
      </rPr>
      <t xml:space="preserve">2 </t>
    </r>
    <r>
      <rPr>
        <sz val="11"/>
        <color theme="1"/>
        <rFont val="Cambria"/>
        <family val="1"/>
      </rPr>
      <t xml:space="preserve">ekv). </t>
    </r>
  </si>
  <si>
    <r>
      <t>Iga tabeli lõpus esitatakse tööle-koju liikumisest tulenev KHG koguheide (kg ja t CO</t>
    </r>
    <r>
      <rPr>
        <vertAlign val="subscript"/>
        <sz val="11"/>
        <color theme="1"/>
        <rFont val="Cambria"/>
        <family val="1"/>
      </rPr>
      <t xml:space="preserve">2 </t>
    </r>
    <r>
      <rPr>
        <sz val="11"/>
        <color theme="1"/>
        <rFont val="Cambria"/>
        <family val="1"/>
      </rPr>
      <t xml:space="preserve">ekv kohta). </t>
    </r>
  </si>
  <si>
    <r>
      <t>kg CO</t>
    </r>
    <r>
      <rPr>
        <b/>
        <vertAlign val="subscript"/>
        <sz val="11"/>
        <color theme="3"/>
        <rFont val="Cambria"/>
        <family val="1"/>
      </rPr>
      <t>2</t>
    </r>
    <r>
      <rPr>
        <b/>
        <sz val="11"/>
        <color theme="3"/>
        <rFont val="Cambria"/>
        <family val="1"/>
      </rPr>
      <t xml:space="preserve"> ekv/km</t>
    </r>
  </si>
  <si>
    <r>
      <t>kg CO</t>
    </r>
    <r>
      <rPr>
        <b/>
        <vertAlign val="subscript"/>
        <sz val="11"/>
        <color theme="3"/>
        <rFont val="Cambria"/>
        <family val="1"/>
      </rPr>
      <t>2</t>
    </r>
    <r>
      <rPr>
        <b/>
        <sz val="11"/>
        <color theme="3"/>
        <rFont val="Cambria"/>
        <family val="1"/>
      </rPr>
      <t xml:space="preserve"> ekv/sõitja-km</t>
    </r>
  </si>
  <si>
    <r>
      <rPr>
        <b/>
        <sz val="11"/>
        <color theme="1"/>
        <rFont val="Cambria"/>
        <family val="1"/>
      </rPr>
      <t>Tabel 1: sõiduauto, mootoratas, mopeed, takso</t>
    </r>
    <r>
      <rPr>
        <sz val="11"/>
        <color theme="1"/>
        <rFont val="Cambria"/>
        <family val="1"/>
      </rPr>
      <t xml:space="preserve">. Nende sõiduvahenditega tehtud töösõitude arvestamisel on soovitatav kasutada vahemaa (km) põhist andmekogumist ja arvestust. </t>
    </r>
  </si>
  <si>
    <r>
      <rPr>
        <b/>
        <sz val="11"/>
        <color theme="1"/>
        <rFont val="Cambria"/>
        <family val="1"/>
      </rPr>
      <t>Tabel 2: buss, rööbastransport, lennuk, laev</t>
    </r>
    <r>
      <rPr>
        <sz val="11"/>
        <color theme="1"/>
        <rFont val="Cambria"/>
        <family val="1"/>
      </rPr>
      <t xml:space="preserve">. Nende sõiduvahenditega tehtud töösõitude arvestamisel on soovitatav kasutada arvestusühikuna sõitjakilomeetrit. </t>
    </r>
  </si>
  <si>
    <r>
      <t>Sellisel juhul valib mudel automaatselt asjakohase eriheiteteguri ja arvutab välja valitud sõiduvahendiga tehtud töösõitudest tuleneva KHG heitkoguse (nii kg CO</t>
    </r>
    <r>
      <rPr>
        <vertAlign val="subscript"/>
        <sz val="11"/>
        <color theme="1"/>
        <rFont val="Cambria"/>
        <family val="1"/>
      </rPr>
      <t xml:space="preserve">2 </t>
    </r>
    <r>
      <rPr>
        <sz val="11"/>
        <color theme="1"/>
        <rFont val="Cambria"/>
        <family val="1"/>
      </rPr>
      <t>ekv kui ka tonni CO</t>
    </r>
    <r>
      <rPr>
        <vertAlign val="subscript"/>
        <sz val="11"/>
        <color theme="1"/>
        <rFont val="Cambria"/>
        <family val="1"/>
      </rPr>
      <t xml:space="preserve">2 </t>
    </r>
    <r>
      <rPr>
        <sz val="11"/>
        <color theme="1"/>
        <rFont val="Cambria"/>
        <family val="1"/>
      </rPr>
      <t xml:space="preserve">ekv). </t>
    </r>
  </si>
  <si>
    <r>
      <t>Iga tabeli lõpus esitatakse tööreisidest tulenev KHG koguheide (kg ja t CO</t>
    </r>
    <r>
      <rPr>
        <vertAlign val="subscript"/>
        <sz val="11"/>
        <color theme="1"/>
        <rFont val="Cambria"/>
        <family val="1"/>
      </rPr>
      <t xml:space="preserve">2 </t>
    </r>
    <r>
      <rPr>
        <sz val="11"/>
        <color theme="1"/>
        <rFont val="Cambria"/>
        <family val="1"/>
      </rPr>
      <t xml:space="preserve">ekv kohta). </t>
    </r>
  </si>
  <si>
    <r>
      <rPr>
        <b/>
        <sz val="11"/>
        <color theme="1"/>
        <rFont val="Cambria"/>
        <family val="1"/>
      </rPr>
      <t>Tabel 1B: jäiga kerega veoauto</t>
    </r>
    <r>
      <rPr>
        <sz val="11"/>
        <color theme="1"/>
        <rFont val="Cambria"/>
        <family val="1"/>
      </rPr>
      <t xml:space="preserve"> (st ilma haagiseta). Veerus 'Jäiga kerega veoauto: suurus (täismass), kütus ja transpordi ühik' tuleb valida kasutatud veoauto tüüp. </t>
    </r>
  </si>
  <si>
    <r>
      <rPr>
        <b/>
        <sz val="11"/>
        <color theme="1"/>
        <rFont val="Cambria"/>
        <family val="1"/>
      </rPr>
      <t xml:space="preserve">Tabel 1C: liigendveoauto </t>
    </r>
    <r>
      <rPr>
        <sz val="11"/>
        <color theme="1"/>
        <rFont val="Cambria"/>
        <family val="1"/>
      </rPr>
      <t xml:space="preserve">(st madel või haagisega). Veerus 'Liigendveoauto: suurus (täismass), kütus ja transpordi ühik' tuleb valida kasutatud veouto tüüp. </t>
    </r>
  </si>
  <si>
    <r>
      <rPr>
        <b/>
        <sz val="11"/>
        <color theme="1"/>
        <rFont val="Cambria"/>
        <family val="1"/>
      </rPr>
      <t>Tabel 1D: veoauto suurus ja tüüp pole teada</t>
    </r>
    <r>
      <rPr>
        <sz val="11"/>
        <color theme="1"/>
        <rFont val="Cambria"/>
        <family val="1"/>
      </rPr>
      <t>. Tihti pole võimalik transporditeenusepakkujatelt täpsemaid andmeid (eelkõige veoki suuruse ja tüübi kohta) saada. Sellisel juhul saab kasutada tabel 1D antud valikud.</t>
    </r>
  </si>
  <si>
    <r>
      <t xml:space="preserve">Muude transpordivahendite kasutamisel tekkivate KHG heitkoguse arvutamiseks saab kasutada vastavate transpordivahendite arvutustabeleid: </t>
    </r>
    <r>
      <rPr>
        <b/>
        <sz val="11"/>
        <color theme="1"/>
        <rFont val="Cambria"/>
        <family val="1"/>
      </rPr>
      <t>tabel 2 - rong, tabel 3 - lennuk, tabel 4 - laev</t>
    </r>
    <r>
      <rPr>
        <sz val="11"/>
        <color theme="1"/>
        <rFont val="Cambria"/>
        <family val="1"/>
      </rPr>
      <t>.</t>
    </r>
  </si>
  <si>
    <r>
      <t>Sellisel juhul valib mudel automaatselt asjakohase eriheiteteguri ja arvutab välja sisestatud kaubaveo aastase vahemaa ja vastava veetud kaubakoguse põhjal KHG heitkoguse (nii kg CO</t>
    </r>
    <r>
      <rPr>
        <vertAlign val="subscript"/>
        <sz val="11"/>
        <color theme="1"/>
        <rFont val="Cambria"/>
        <family val="1"/>
      </rPr>
      <t xml:space="preserve">2 </t>
    </r>
    <r>
      <rPr>
        <sz val="11"/>
        <color theme="1"/>
        <rFont val="Cambria"/>
        <family val="1"/>
      </rPr>
      <t>ekv kui ka tonni CO</t>
    </r>
    <r>
      <rPr>
        <vertAlign val="subscript"/>
        <sz val="11"/>
        <color theme="1"/>
        <rFont val="Cambria"/>
        <family val="1"/>
      </rPr>
      <t xml:space="preserve">2 </t>
    </r>
    <r>
      <rPr>
        <sz val="11"/>
        <color theme="1"/>
        <rFont val="Cambria"/>
        <family val="1"/>
      </rPr>
      <t xml:space="preserve">ekv). </t>
    </r>
  </si>
  <si>
    <r>
      <t>Iga tabeli lõpus esitatakse sisseostetud transporditeenusest tulenev KHG koguheide (kg ja t CO</t>
    </r>
    <r>
      <rPr>
        <vertAlign val="subscript"/>
        <sz val="11"/>
        <color theme="1"/>
        <rFont val="Cambria"/>
        <family val="1"/>
      </rPr>
      <t xml:space="preserve">2 </t>
    </r>
    <r>
      <rPr>
        <sz val="11"/>
        <color theme="1"/>
        <rFont val="Cambria"/>
        <family val="1"/>
      </rPr>
      <t xml:space="preserve">ekv kohta). </t>
    </r>
  </si>
  <si>
    <r>
      <t>kg CO</t>
    </r>
    <r>
      <rPr>
        <b/>
        <vertAlign val="subscript"/>
        <sz val="11"/>
        <color theme="3"/>
        <rFont val="Cambria"/>
        <family val="1"/>
      </rPr>
      <t>2</t>
    </r>
    <r>
      <rPr>
        <b/>
        <sz val="11"/>
        <color theme="3"/>
        <rFont val="Cambria"/>
        <family val="1"/>
      </rPr>
      <t xml:space="preserve"> ekv/tonn-km</t>
    </r>
  </si>
  <si>
    <r>
      <t>1. Juhul kui organisatsioon ostab soojusenergiat, mida teine ettevõte toodab</t>
    </r>
    <r>
      <rPr>
        <b/>
        <sz val="11"/>
        <color theme="1"/>
        <rFont val="Cambria"/>
        <family val="1"/>
      </rPr>
      <t xml:space="preserve"> lokaalses katlamajas või muus lokaalses energiatootmisüksuses</t>
    </r>
    <r>
      <rPr>
        <sz val="11"/>
        <color theme="1"/>
        <rFont val="Cambria"/>
        <family val="1"/>
      </rPr>
      <t xml:space="preserve">, </t>
    </r>
  </si>
  <si>
    <r>
      <t>Sellisel juhul valib mudel automaatselt asjakohase eriheiteteguri ja arvutab välja tarbitud energiaga seotud KHG heitkoguse (nii kg CO</t>
    </r>
    <r>
      <rPr>
        <vertAlign val="subscript"/>
        <sz val="11"/>
        <color theme="1"/>
        <rFont val="Cambria"/>
        <family val="1"/>
      </rPr>
      <t xml:space="preserve">2 </t>
    </r>
    <r>
      <rPr>
        <sz val="11"/>
        <color theme="1"/>
        <rFont val="Cambria"/>
        <family val="1"/>
      </rPr>
      <t>ekv kui ka tonni CO</t>
    </r>
    <r>
      <rPr>
        <vertAlign val="subscript"/>
        <sz val="11"/>
        <color theme="1"/>
        <rFont val="Cambria"/>
        <family val="1"/>
      </rPr>
      <t xml:space="preserve">2 </t>
    </r>
    <r>
      <rPr>
        <sz val="11"/>
        <color theme="1"/>
        <rFont val="Cambria"/>
        <family val="1"/>
      </rPr>
      <t xml:space="preserve">ekv). </t>
    </r>
  </si>
  <si>
    <r>
      <t>Tabeli lõpus esitatakse organisatsiooni poolt ostetud energiaga seotud KHG koguheide (kg ja t CO</t>
    </r>
    <r>
      <rPr>
        <vertAlign val="subscript"/>
        <sz val="11"/>
        <color theme="1"/>
        <rFont val="Cambria"/>
        <family val="1"/>
      </rPr>
      <t xml:space="preserve">2 </t>
    </r>
    <r>
      <rPr>
        <sz val="11"/>
        <color theme="1"/>
        <rFont val="Cambria"/>
        <family val="1"/>
      </rPr>
      <t xml:space="preserve">ekv kohta).  </t>
    </r>
  </si>
  <si>
    <r>
      <t>kg CO</t>
    </r>
    <r>
      <rPr>
        <b/>
        <vertAlign val="subscript"/>
        <sz val="11"/>
        <color theme="3"/>
        <rFont val="Cambria"/>
        <family val="1"/>
      </rPr>
      <t>2</t>
    </r>
    <r>
      <rPr>
        <b/>
        <sz val="11"/>
        <color theme="3"/>
        <rFont val="Cambria"/>
        <family val="1"/>
      </rPr>
      <t xml:space="preserve"> ekv/kWh</t>
    </r>
  </si>
  <si>
    <r>
      <rPr>
        <b/>
        <sz val="11"/>
        <color theme="1"/>
        <rFont val="Cambria"/>
        <family val="1"/>
      </rPr>
      <t>1. Tavaelektrit</t>
    </r>
    <r>
      <rPr>
        <sz val="11"/>
        <color theme="1"/>
        <rFont val="Cambria"/>
        <family val="1"/>
      </rPr>
      <t xml:space="preserve"> - tõendamata päritoluga elektrienergia, mida nimetatakse ka elektritarbimise segajäägiks. </t>
    </r>
  </si>
  <si>
    <r>
      <rPr>
        <b/>
        <sz val="11"/>
        <color theme="1"/>
        <rFont val="Cambria"/>
        <family val="1"/>
      </rPr>
      <t>2. Taastuvelektrit</t>
    </r>
    <r>
      <rPr>
        <sz val="11"/>
        <color theme="1"/>
        <rFont val="Cambria"/>
        <family val="1"/>
      </rPr>
      <t xml:space="preserve"> - elektrienergia päritolutunnistusega tõendatud taastuvatest allikatest pärinev energia, sh roheelektri lepinguga ostetud elektrienergia.</t>
    </r>
  </si>
  <si>
    <r>
      <t>Sellisel juhul valib mudel automaatselt asjakohase eriheiteteguri ja arvutab välja tarbitud elektrienergiaga seotud KHG heitkoguse (nii kg CO</t>
    </r>
    <r>
      <rPr>
        <vertAlign val="subscript"/>
        <sz val="11"/>
        <color theme="1"/>
        <rFont val="Cambria"/>
        <family val="1"/>
      </rPr>
      <t xml:space="preserve">2 </t>
    </r>
    <r>
      <rPr>
        <sz val="11"/>
        <color theme="1"/>
        <rFont val="Cambria"/>
        <family val="1"/>
      </rPr>
      <t>ekv kui ka tonni CO</t>
    </r>
    <r>
      <rPr>
        <vertAlign val="subscript"/>
        <sz val="11"/>
        <color theme="1"/>
        <rFont val="Cambria"/>
        <family val="1"/>
      </rPr>
      <t xml:space="preserve">2 </t>
    </r>
    <r>
      <rPr>
        <sz val="11"/>
        <color theme="1"/>
        <rFont val="Cambria"/>
        <family val="1"/>
      </rPr>
      <t xml:space="preserve">ekv). </t>
    </r>
  </si>
  <si>
    <r>
      <t>Tabeli lõpus esitatakse organisatsiooni poolt ostetud ja tarbitud elektrienergiaga seotud KHG koguheide (kg ja t CO</t>
    </r>
    <r>
      <rPr>
        <vertAlign val="subscript"/>
        <sz val="11"/>
        <color theme="1"/>
        <rFont val="Cambria"/>
        <family val="1"/>
      </rPr>
      <t xml:space="preserve">2 </t>
    </r>
    <r>
      <rPr>
        <sz val="11"/>
        <color theme="1"/>
        <rFont val="Cambria"/>
        <family val="1"/>
      </rPr>
      <t xml:space="preserve">ekv).  </t>
    </r>
  </si>
  <si>
    <r>
      <t>kg CO</t>
    </r>
    <r>
      <rPr>
        <b/>
        <vertAlign val="subscript"/>
        <sz val="11"/>
        <color theme="3"/>
        <rFont val="Cambria"/>
        <family val="1"/>
      </rPr>
      <t>2</t>
    </r>
    <r>
      <rPr>
        <b/>
        <sz val="11"/>
        <color theme="3"/>
        <rFont val="Cambria"/>
        <family val="1"/>
      </rPr>
      <t xml:space="preserve"> ekv/kwh</t>
    </r>
  </si>
  <si>
    <r>
      <t>F-gaase on neli põhigruppi, mida ka käesolev mudel võtab arvesse: fluorosüsivesinikud (HFCd), perfluorosüsivesinikud (PFCd), väävelheksafluoriid (SF</t>
    </r>
    <r>
      <rPr>
        <vertAlign val="subscript"/>
        <sz val="11"/>
        <color theme="1"/>
        <rFont val="Cambria"/>
        <family val="1"/>
      </rPr>
      <t>6</t>
    </r>
    <r>
      <rPr>
        <sz val="11"/>
        <color theme="1"/>
        <rFont val="Cambria"/>
        <family val="1"/>
      </rPr>
      <t xml:space="preserve">) ja </t>
    </r>
  </si>
  <si>
    <r>
      <t>ühe kg CO</t>
    </r>
    <r>
      <rPr>
        <vertAlign val="subscript"/>
        <sz val="11"/>
        <color theme="1"/>
        <rFont val="Cambria"/>
        <family val="1"/>
      </rPr>
      <t>2</t>
    </r>
    <r>
      <rPr>
        <sz val="11"/>
        <color theme="1"/>
        <rFont val="Cambria"/>
        <family val="1"/>
      </rPr>
      <t xml:space="preserve"> suhtes. </t>
    </r>
  </si>
  <si>
    <r>
      <t>Sellisel juhul valib mudel automaatselt asjakohase eriheiteteguri ja arvutab välja valitud kütuse kasutamise või sõidukitüübiga seotud KHG heitkoguse (nii kg CO</t>
    </r>
    <r>
      <rPr>
        <vertAlign val="subscript"/>
        <sz val="11"/>
        <color theme="1"/>
        <rFont val="Cambria"/>
        <family val="1"/>
      </rPr>
      <t>2 ekv</t>
    </r>
    <r>
      <rPr>
        <sz val="11"/>
        <color theme="1"/>
        <rFont val="Cambria"/>
        <family val="1"/>
      </rPr>
      <t xml:space="preserve"> kui ka tonni CO</t>
    </r>
    <r>
      <rPr>
        <vertAlign val="subscript"/>
        <sz val="11"/>
        <color theme="1"/>
        <rFont val="Cambria"/>
        <family val="1"/>
      </rPr>
      <t>2 ekv</t>
    </r>
    <r>
      <rPr>
        <sz val="11"/>
        <color theme="1"/>
        <rFont val="Cambria"/>
        <family val="1"/>
      </rPr>
      <t xml:space="preserve">). </t>
    </r>
  </si>
  <si>
    <r>
      <t>Iga tabeli lõpus esitatakse sõidukite kasutamisest tulenev KHG koguheide (kg ja t CO</t>
    </r>
    <r>
      <rPr>
        <vertAlign val="subscript"/>
        <sz val="11"/>
        <color theme="1"/>
        <rFont val="Cambria"/>
        <family val="1"/>
      </rPr>
      <t xml:space="preserve">2 </t>
    </r>
    <r>
      <rPr>
        <sz val="11"/>
        <color theme="1"/>
        <rFont val="Cambria"/>
        <family val="1"/>
      </rPr>
      <t xml:space="preserve">ekv kohta). </t>
    </r>
  </si>
  <si>
    <r>
      <t>kg CO</t>
    </r>
    <r>
      <rPr>
        <b/>
        <vertAlign val="subscript"/>
        <sz val="11"/>
        <color theme="3"/>
        <rFont val="Cambria"/>
        <family val="1"/>
      </rPr>
      <t>2</t>
    </r>
    <r>
      <rPr>
        <b/>
        <sz val="11"/>
        <color theme="3"/>
        <rFont val="Cambria"/>
        <family val="1"/>
      </rPr>
      <t>ekv</t>
    </r>
  </si>
  <si>
    <r>
      <t>t CO</t>
    </r>
    <r>
      <rPr>
        <b/>
        <vertAlign val="subscript"/>
        <sz val="11"/>
        <color theme="3"/>
        <rFont val="Cambria"/>
        <family val="1"/>
      </rPr>
      <t>2</t>
    </r>
    <r>
      <rPr>
        <b/>
        <sz val="11"/>
        <color theme="3"/>
        <rFont val="Cambria"/>
        <family val="1"/>
      </rPr>
      <t>ekv</t>
    </r>
  </si>
  <si>
    <r>
      <t>kg CO</t>
    </r>
    <r>
      <rPr>
        <vertAlign val="subscript"/>
        <sz val="11"/>
        <color theme="1"/>
        <rFont val="Cambria"/>
        <family val="1"/>
      </rPr>
      <t>2</t>
    </r>
    <r>
      <rPr>
        <sz val="11"/>
        <color theme="1"/>
        <rFont val="Cambria"/>
        <family val="1"/>
      </rPr>
      <t xml:space="preserve"> ekv/km</t>
    </r>
  </si>
  <si>
    <r>
      <t>Käesolev mudel võtab arvesse peamised kütuste põletamisel tekkivad KHG-d: CO</t>
    </r>
    <r>
      <rPr>
        <vertAlign val="subscript"/>
        <sz val="11"/>
        <color theme="1"/>
        <rFont val="Cambria"/>
        <family val="1"/>
      </rPr>
      <t>2</t>
    </r>
    <r>
      <rPr>
        <sz val="11"/>
        <color theme="1"/>
        <rFont val="Cambria"/>
        <family val="1"/>
      </rPr>
      <t>, CH</t>
    </r>
    <r>
      <rPr>
        <vertAlign val="subscript"/>
        <sz val="11"/>
        <color theme="1"/>
        <rFont val="Cambria"/>
        <family val="1"/>
      </rPr>
      <t>4</t>
    </r>
    <r>
      <rPr>
        <sz val="11"/>
        <color theme="1"/>
        <rFont val="Cambria"/>
        <family val="1"/>
      </rPr>
      <t>, N</t>
    </r>
    <r>
      <rPr>
        <vertAlign val="subscript"/>
        <sz val="11"/>
        <color theme="1"/>
        <rFont val="Cambria"/>
        <family val="1"/>
      </rPr>
      <t>2</t>
    </r>
    <r>
      <rPr>
        <sz val="11"/>
        <color theme="1"/>
        <rFont val="Cambria"/>
        <family val="1"/>
      </rPr>
      <t>O, mis koondarvestuses tuuakse välja CO</t>
    </r>
    <r>
      <rPr>
        <vertAlign val="subscript"/>
        <sz val="11"/>
        <color theme="1"/>
        <rFont val="Cambria"/>
        <family val="1"/>
      </rPr>
      <t>2</t>
    </r>
    <r>
      <rPr>
        <sz val="11"/>
        <color theme="1"/>
        <rFont val="Cambria"/>
        <family val="1"/>
      </rPr>
      <t xml:space="preserve"> ekvivalendina.</t>
    </r>
  </si>
  <si>
    <r>
      <t>2. Kasutatud kütuseliigi kogus aastas (l, kg, m</t>
    </r>
    <r>
      <rPr>
        <vertAlign val="superscript"/>
        <sz val="11"/>
        <color theme="1"/>
        <rFont val="Cambria"/>
        <family val="1"/>
      </rPr>
      <t>3</t>
    </r>
    <r>
      <rPr>
        <sz val="11"/>
        <color theme="1"/>
        <rFont val="Cambria"/>
        <family val="1"/>
      </rPr>
      <t>) või toodetud energialiigi kogus aastas (kWh)</t>
    </r>
  </si>
  <si>
    <r>
      <t>Tabeli lõpus esitatakse erinevate kütuste kasutamisest tulenev organisatsiooni enda energiatootmisega seotud KHG koguheide (kg ja t CO</t>
    </r>
    <r>
      <rPr>
        <vertAlign val="subscript"/>
        <sz val="11"/>
        <color theme="1"/>
        <rFont val="Cambria"/>
        <family val="1"/>
      </rPr>
      <t>2</t>
    </r>
    <r>
      <rPr>
        <sz val="11"/>
        <color theme="1"/>
        <rFont val="Cambria"/>
        <family val="1"/>
      </rPr>
      <t xml:space="preserve"> ekv kohta). </t>
    </r>
  </si>
  <si>
    <r>
      <t>tekkivast CO</t>
    </r>
    <r>
      <rPr>
        <vertAlign val="subscript"/>
        <sz val="11"/>
        <color theme="1"/>
        <rFont val="Cambria"/>
        <family val="1"/>
      </rPr>
      <t>2</t>
    </r>
    <r>
      <rPr>
        <sz val="11"/>
        <color theme="1"/>
        <rFont val="Cambria"/>
        <family val="1"/>
      </rPr>
      <t xml:space="preserve"> heitest. Viimane on aluseks KHG jalajälje arvutamisel. Seetõttu tuuakse GHG protokolli kohaselt biogeenne CO</t>
    </r>
    <r>
      <rPr>
        <vertAlign val="subscript"/>
        <sz val="11"/>
        <color theme="1"/>
        <rFont val="Cambria"/>
        <family val="1"/>
      </rPr>
      <t>2</t>
    </r>
    <r>
      <rPr>
        <sz val="11"/>
        <color theme="1"/>
        <rFont val="Cambria"/>
        <family val="1"/>
      </rPr>
      <t xml:space="preserve"> heide eraldi välja.</t>
    </r>
  </si>
  <si>
    <r>
      <t>Biogeenne CO</t>
    </r>
    <r>
      <rPr>
        <b/>
        <vertAlign val="subscript"/>
        <sz val="11"/>
        <color theme="3"/>
        <rFont val="Cambria"/>
        <family val="1"/>
      </rPr>
      <t>2</t>
    </r>
  </si>
  <si>
    <r>
      <t>t CO</t>
    </r>
    <r>
      <rPr>
        <b/>
        <vertAlign val="subscript"/>
        <sz val="11"/>
        <color theme="3"/>
        <rFont val="Cambria"/>
        <family val="1"/>
      </rPr>
      <t xml:space="preserve">2 </t>
    </r>
  </si>
  <si>
    <r>
      <t>Biogeense CO</t>
    </r>
    <r>
      <rPr>
        <vertAlign val="subscript"/>
        <sz val="12"/>
        <color theme="3"/>
        <rFont val="Cambria"/>
        <family val="1"/>
      </rPr>
      <t>2</t>
    </r>
    <r>
      <rPr>
        <sz val="12"/>
        <color theme="3"/>
        <rFont val="Cambria"/>
        <family val="1"/>
      </rPr>
      <t xml:space="preserve"> heide </t>
    </r>
  </si>
  <si>
    <r>
      <rPr>
        <b/>
        <sz val="11"/>
        <color theme="1"/>
        <rFont val="Cambria"/>
        <family val="1"/>
      </rPr>
      <t>2. KHG jalajälje aruandlusperiood</t>
    </r>
    <r>
      <rPr>
        <sz val="11"/>
        <color theme="1"/>
        <rFont val="Cambria"/>
        <family val="1"/>
      </rPr>
      <t>. Tavaliselt arvutatakse KHG jalajälg kalendriaasta (soovitatav) või finants-/majandusaasta kohta, juhul kui see erineb kalendriaastast (sellisel juhul täpsusta ajaline periood vastavas lahtris).</t>
    </r>
  </si>
  <si>
    <r>
      <t xml:space="preserve">4. Juhul kui organisatsioon soovib KHG jalajälje arvutamisel ja aruandluses eristada struktuuriüksusi, osakondi vms, siis tuleks allolevas tabelis 4 nimetada asjakohased </t>
    </r>
    <r>
      <rPr>
        <b/>
        <sz val="11"/>
        <color theme="1"/>
        <rFont val="Cambria"/>
        <family val="1"/>
      </rPr>
      <t>üksused</t>
    </r>
    <r>
      <rPr>
        <sz val="11"/>
        <color theme="1"/>
        <rFont val="Cambria"/>
        <family val="1"/>
      </rPr>
      <t>.</t>
    </r>
  </si>
  <si>
    <r>
      <t xml:space="preserve">5. </t>
    </r>
    <r>
      <rPr>
        <b/>
        <sz val="11"/>
        <color theme="1"/>
        <rFont val="Cambria"/>
        <family val="1"/>
      </rPr>
      <t>KHG jalajälje hindamise ulatuse</t>
    </r>
    <r>
      <rPr>
        <sz val="11"/>
        <color theme="1"/>
        <rFont val="Cambria"/>
        <family val="1"/>
      </rPr>
      <t xml:space="preserve"> paika panemiseks tuleb otsustada organisatsiooni tegevusala arvestades, milliste mõjualade ning tegevuskategooriate/heiteallikate KHG jalajälge hakatakse arvutama.</t>
    </r>
  </si>
  <si>
    <t>GLOBAALSE SOOJENEMISE POTENTSIAALI VÄÄRTUSED</t>
  </si>
  <si>
    <t>Kütuseliik, maismaasõiduki tüüp ja kütuse koguse ühik</t>
  </si>
  <si>
    <t>M3 - Jäätmete transport ja töötlus</t>
  </si>
  <si>
    <t>Jäätmete transpordi ja töötlemise eriheitetegurid</t>
  </si>
  <si>
    <t>IPCC hindamisaruandes kasutatud KHG-de globaalse soojenemise potentsiaali väärtused</t>
  </si>
  <si>
    <r>
      <t xml:space="preserve">3. Organisatsioon võib tahta oma KHG heitkogust esitada </t>
    </r>
    <r>
      <rPr>
        <b/>
        <sz val="11"/>
        <color theme="1"/>
        <rFont val="Cambria"/>
        <family val="1"/>
      </rPr>
      <t>suhtelise näitajana</t>
    </r>
    <r>
      <rPr>
        <sz val="11"/>
        <color theme="1"/>
        <rFont val="Cambria"/>
        <family val="1"/>
      </rPr>
      <t xml:space="preserve"> (nt KHG heitkogus töötaja, käibe, tooteühiku kohta vms). </t>
    </r>
  </si>
  <si>
    <t>Eriheited</t>
  </si>
  <si>
    <t>ERIHEITED</t>
  </si>
  <si>
    <r>
      <t>CH</t>
    </r>
    <r>
      <rPr>
        <b/>
        <vertAlign val="subscript"/>
        <sz val="11"/>
        <color theme="3"/>
        <rFont val="Cambria"/>
        <family val="1"/>
      </rPr>
      <t>4</t>
    </r>
    <r>
      <rPr>
        <b/>
        <sz val="11"/>
        <color theme="3"/>
        <rFont val="Cambria"/>
        <family val="1"/>
      </rPr>
      <t xml:space="preserve"> kg/TJ</t>
    </r>
  </si>
  <si>
    <r>
      <t>N</t>
    </r>
    <r>
      <rPr>
        <b/>
        <vertAlign val="subscript"/>
        <sz val="11"/>
        <color theme="3"/>
        <rFont val="Cambria"/>
        <family val="1"/>
      </rPr>
      <t>2</t>
    </r>
    <r>
      <rPr>
        <b/>
        <sz val="11"/>
        <color theme="3"/>
        <rFont val="Cambria"/>
        <family val="1"/>
      </rPr>
      <t>O kg/TJ</t>
    </r>
  </si>
  <si>
    <r>
      <t>kg CO</t>
    </r>
    <r>
      <rPr>
        <b/>
        <vertAlign val="subscript"/>
        <sz val="11"/>
        <color theme="3"/>
        <rFont val="Cambria"/>
        <family val="1"/>
      </rPr>
      <t>2</t>
    </r>
    <r>
      <rPr>
        <b/>
        <sz val="11"/>
        <color theme="3"/>
        <rFont val="Cambria"/>
        <family val="1"/>
      </rPr>
      <t xml:space="preserve"> ekv/GJ</t>
    </r>
  </si>
  <si>
    <r>
      <t>CO</t>
    </r>
    <r>
      <rPr>
        <b/>
        <vertAlign val="subscript"/>
        <sz val="11"/>
        <color theme="3"/>
        <rFont val="Cambria"/>
        <family val="1"/>
      </rPr>
      <t>2</t>
    </r>
    <r>
      <rPr>
        <b/>
        <sz val="11"/>
        <color theme="3"/>
        <rFont val="Cambria"/>
        <family val="1"/>
      </rPr>
      <t xml:space="preserve"> kt</t>
    </r>
  </si>
  <si>
    <r>
      <t>CH</t>
    </r>
    <r>
      <rPr>
        <b/>
        <vertAlign val="subscript"/>
        <sz val="11"/>
        <color theme="3"/>
        <rFont val="Cambria"/>
        <family val="1"/>
      </rPr>
      <t>4</t>
    </r>
    <r>
      <rPr>
        <b/>
        <sz val="11"/>
        <color theme="3"/>
        <rFont val="Cambria"/>
        <family val="1"/>
      </rPr>
      <t xml:space="preserve"> kt</t>
    </r>
  </si>
  <si>
    <r>
      <t>N</t>
    </r>
    <r>
      <rPr>
        <b/>
        <vertAlign val="subscript"/>
        <sz val="11"/>
        <color theme="3"/>
        <rFont val="Cambria"/>
        <family val="1"/>
      </rPr>
      <t>2</t>
    </r>
    <r>
      <rPr>
        <b/>
        <sz val="11"/>
        <color theme="3"/>
        <rFont val="Cambria"/>
        <family val="1"/>
      </rPr>
      <t>O kt</t>
    </r>
  </si>
  <si>
    <t>HT - Sõidukikütused (M1), elekter (M2)</t>
  </si>
  <si>
    <t>OSTETUD ELEKTRIENERGIA TARBIMISEST TULENEV KHG HEIDE KOKKU</t>
  </si>
  <si>
    <t>mis lähtub Eestis tarbitud elektri päritolu määratlemise süsteemist (Elering):</t>
  </si>
  <si>
    <t>Kui soovitakse kasutada muud eriheitetegurit, siis tuleks veerus 'Kas kasutate arvutusmudeli eriheitetegurit' valida 'Ei' ning sisestada veergu 'Muu eriheitetegur' vastav väärtus arvestades asjakohast ühikut (liiter või kilogramm).</t>
  </si>
  <si>
    <t>Kaugküte - energiatarnija andmed</t>
  </si>
  <si>
    <t xml:space="preserve">tuleks määratleda seal kasutatav kütuseliik ja ostetud aastane energia kogus (kWh). </t>
  </si>
  <si>
    <t>Sellisel juhul tuleks tabelis valida veerus 'Soojusenergia päritolu' rippmenüüst lokaalküte ja seal kasutatav kütuse liik ning sisestada vastavasse veergu tarbitud aastane energiakogus.</t>
  </si>
  <si>
    <t xml:space="preserve">Viimast lähenemist tuleks kasutada aga äärmisel juhul (kui täpsemad andmed puuduvad), kuna selline lähenemine annab kõige ebatäpsema tulemuse. </t>
  </si>
  <si>
    <r>
      <t xml:space="preserve">2. Kui soojusenergiat ostetakse </t>
    </r>
    <r>
      <rPr>
        <b/>
        <sz val="11"/>
        <color theme="1"/>
        <rFont val="Cambria"/>
        <family val="1"/>
      </rPr>
      <t xml:space="preserve">kaugküttevõrgust, </t>
    </r>
    <r>
      <rPr>
        <sz val="11"/>
        <color theme="1"/>
        <rFont val="Cambria"/>
        <family val="1"/>
      </rPr>
      <t>siis on võimalik kaugkütte ettevõttelt ostetud aastast soojusenergia kogust ja sellega seotud KHG jalajälge arvutada järgmiselt:</t>
    </r>
  </si>
  <si>
    <r>
      <rPr>
        <b/>
        <sz val="11"/>
        <color theme="1"/>
        <rFont val="Cambria"/>
        <family val="1"/>
      </rPr>
      <t>b)</t>
    </r>
    <r>
      <rPr>
        <sz val="11"/>
        <color theme="1"/>
        <rFont val="Cambria"/>
        <family val="1"/>
      </rPr>
      <t xml:space="preserve"> Kui energiatarnijalt või muudel põhjustel pole võimalik saada kaugkütte KHG heite arvutamiseks andmeid, siis võib kasutada arvutusmudelis toodud järgmisi alternatiive. </t>
    </r>
  </si>
  <si>
    <t xml:space="preserve">Arvutustabelis tuleks veerus 'Soojusenergia päritolu' valida rippmenüüst 'Kaugküte - energiatarnija andmed'. Kuna sellisel juhul ei kasutata arvutusmudeli eriheitetegurit, siis tuleks vastavas veerus valida 'Ei' </t>
  </si>
  <si>
    <t>ning seejärel sisestada energiaettevõtte pakutud andmete alusel saadud asjakohase arvestusaasta eriheitetegur veergu 'Muu eriheitetegur' (lisada ka tabelisse viide andmete allikale).</t>
  </si>
  <si>
    <t xml:space="preserve">Kui on teada kaugkütte piirkonna soojatootmiseks kasutatavas katlamajas kasutatava kütuse liik, siis tuleks tabelis valida  veerus 'Soojusenergia päritolu' rippmenüüs 'Kaugküte - (vastav kütuse liik)' ning </t>
  </si>
  <si>
    <t xml:space="preserve">sisestada vastavasse veergu tarbitud aastane energiakogus. Kui puuduvad ka täpsemad andmed kasutatava kaugkütte kohta, siis võib valida veerus 'Soojusenergia päritolu' rippmenüüst 'Kaugküte - Eesti keskmine'. </t>
  </si>
  <si>
    <r>
      <rPr>
        <b/>
        <sz val="11"/>
        <color theme="1"/>
        <rFont val="Cambria"/>
        <family val="1"/>
      </rPr>
      <t>a)</t>
    </r>
    <r>
      <rPr>
        <sz val="11"/>
        <color theme="1"/>
        <rFont val="Cambria"/>
        <family val="1"/>
      </rPr>
      <t xml:space="preserve"> Kõige täpsema tulemuse annab kaugkütte ettevõtte (energiatarnija) esitatud andmete kasutamine - tarbitud soojusenergia aastane kogus (kWh) ja energiatarnija poolt pakutud andmed</t>
    </r>
  </si>
  <si>
    <t>Liiniläbisõit (sõidukikm/a)</t>
  </si>
  <si>
    <t>Sõitjakäive (sõitjakm/a)</t>
  </si>
  <si>
    <r>
      <t>Sellisel juhul kuvab mudel automaatselt valitud kütuse-/energialiigi eriheiteteguri ja arvutab välja kütuse kasutusega seotud KHG heitkoguse (nii kg CO</t>
    </r>
    <r>
      <rPr>
        <vertAlign val="subscript"/>
        <sz val="11"/>
        <color theme="1"/>
        <rFont val="Cambria"/>
        <family val="1"/>
      </rPr>
      <t xml:space="preserve">2 </t>
    </r>
    <r>
      <rPr>
        <sz val="11"/>
        <color theme="1"/>
        <rFont val="Cambria"/>
        <family val="1"/>
      </rPr>
      <t>ekv kui ka tonni CO</t>
    </r>
    <r>
      <rPr>
        <vertAlign val="subscript"/>
        <sz val="11"/>
        <color theme="1"/>
        <rFont val="Cambria"/>
        <family val="1"/>
      </rPr>
      <t xml:space="preserve">2 </t>
    </r>
    <r>
      <rPr>
        <sz val="11"/>
        <color theme="1"/>
        <rFont val="Cambria"/>
        <family val="1"/>
      </rPr>
      <t xml:space="preserve">ekv). </t>
    </r>
  </si>
  <si>
    <t>Bussiteenuse pakkujate ja Statistikaameti andmed 2021, KHG inventuuri aruanne 2022 (diiselbussi eriheitetegur)</t>
  </si>
  <si>
    <t>Arvutatud Tallinna linnaliinibusside (diisel- ja gaasibusside keskmine) andmete põhjal (AS TLT 2021)</t>
  </si>
  <si>
    <t>AS Elron 2021, KHG inventuuri aruanne 2022 (rongidiisli eriheitetegur)</t>
  </si>
  <si>
    <t>Arvutatud AS Elroni andmete põhjal (2021)</t>
  </si>
  <si>
    <t>IPCC HINDAMISARUANNETES KASVUHOONEGAASIDE GLOBAALSE SOOJENEMISE POTENTSIAALI VÄÄRTUSED</t>
  </si>
  <si>
    <t>Kütuseliik ja maismaasõiduki tüüp</t>
  </si>
  <si>
    <r>
      <t>Enda eriheiteteguri sisestamisel tuleb arvestada ka eelnevalt valitud kütuse-/energialiigi ühikut (kg CO</t>
    </r>
    <r>
      <rPr>
        <vertAlign val="subscript"/>
        <sz val="11"/>
        <color theme="1"/>
        <rFont val="Cambria"/>
        <family val="1"/>
      </rPr>
      <t xml:space="preserve">2 </t>
    </r>
    <r>
      <rPr>
        <sz val="11"/>
        <color theme="1"/>
        <rFont val="Cambria"/>
        <family val="1"/>
      </rPr>
      <t>ekv kas kg, liitri või kWh kohta).</t>
    </r>
  </si>
  <si>
    <t>Keskmine kütusekulu (l või kg/km)</t>
  </si>
  <si>
    <t>Taastuvelekter (biomassist)</t>
  </si>
  <si>
    <t>Taastuvelekter (päritolutunnistusega)</t>
  </si>
  <si>
    <t>Arvutuslik (kasutatakse prügilasse ladestamise eriheitetegurit)</t>
  </si>
  <si>
    <t>IPCC AR4</t>
  </si>
  <si>
    <t xml:space="preserve">http://195.70.10.65/pdf/assessment-report/ar4/wg1/ar4-wg1-chapter2.pdf </t>
  </si>
  <si>
    <t xml:space="preserve">Intergovernmental Panel on Climate Change (IPCC), "Climate Change 2007: IPCC Fourth Assessment Report (AR4)." GSP-d: IPCC Working Group I, "Climate Change 2007: The Physical Science Basis." Ch. 2, p. 212-215, Tables 2.14 and 2.15. </t>
  </si>
  <si>
    <r>
      <t>Juhul kui energia tootmisel kasutatakse biokütust, siis esitatakse tabeli lõpus eraldi selle põletamisel tekkiv biogeenne CO</t>
    </r>
    <r>
      <rPr>
        <vertAlign val="subscript"/>
        <sz val="11"/>
        <color theme="1"/>
        <rFont val="Cambria"/>
        <family val="1"/>
      </rPr>
      <t>2</t>
    </r>
    <r>
      <rPr>
        <sz val="11"/>
        <color theme="1"/>
        <rFont val="Cambria"/>
        <family val="1"/>
      </rPr>
      <t xml:space="preserve"> heide. Biomassi põletamisel tekkivat biogeenset CO</t>
    </r>
    <r>
      <rPr>
        <vertAlign val="subscript"/>
        <sz val="11"/>
        <color theme="1"/>
        <rFont val="Cambria"/>
        <family val="1"/>
      </rPr>
      <t>2</t>
    </r>
    <r>
      <rPr>
        <sz val="11"/>
        <color theme="1"/>
        <rFont val="Cambria"/>
        <family val="1"/>
      </rPr>
      <t xml:space="preserve"> heidet tuleb eristada fossiilkütuste põletamisel </t>
    </r>
  </si>
  <si>
    <t>F-gaaside kasutamisest tuleneva KHG jalajälje arvutamiseks on vaja teada, kui palju seadmetest aasta jooksul gaase atmosfääri lekib või pihkub n-ö hajusheitmetena.</t>
  </si>
  <si>
    <t xml:space="preserve">Segajääk võimaldab omistada elektrimüüjatelt tarnitud, kuid päritolutunnistustega katmata, n-ö tavaelektrienergiale arvutuslikult päritolu ja seeläbi arvutada igaaastaselt välja tavaelektri </t>
  </si>
  <si>
    <t>eriheitetegur, mida on võimalik kasutada elektrienergia tarbimisega seotud KHG jalajälje arvutamisel.</t>
  </si>
  <si>
    <t>Kui soovitakse kasutada enda eriheitetegurit, siis valida veerus 'Kas kasutate arvutusmudeli eriheitetegurit?' 'Ei' ning sisestada veergu 'Muu eriheitetegur' vastav väärtus (kWh kohta).</t>
  </si>
  <si>
    <r>
      <t>Tabeli lõpus esitatakse organisatsiooni poolt kasutatud erinevate F-gaaside koguheide (kg ja t CO</t>
    </r>
    <r>
      <rPr>
        <vertAlign val="subscript"/>
        <sz val="11"/>
        <color theme="1"/>
        <rFont val="Cambria"/>
        <family val="1"/>
      </rPr>
      <t xml:space="preserve">2 </t>
    </r>
    <r>
      <rPr>
        <sz val="11"/>
        <color theme="1"/>
        <rFont val="Cambria"/>
        <family val="1"/>
      </rPr>
      <t xml:space="preserve">ekv kohta). </t>
    </r>
  </si>
  <si>
    <t>Sõidukite elektritarbimine</t>
  </si>
  <si>
    <t xml:space="preserve">UK GHG Conversion Factors 2021 (keskmistatud võttes arvesse üldlevinud transpordilaevade suurust/tüüpi ja kasutamist) </t>
  </si>
  <si>
    <t>Sisukorra leht</t>
  </si>
  <si>
    <t>Arvutatud eriheitetegurid, mida kasutatakse lehtedel “HT-Energia (M1, M2)”, “HT-Sõidukikütused (M1)”, “HT-Transport (M3)”, “HT-Tööreisid (M3)” ja “HT-Tööle-koju (M3)”</t>
  </si>
  <si>
    <t>Arvutustabelite täitmise VÄRVIKOODID:</t>
  </si>
  <si>
    <t>andmesisestuse lahtrid</t>
  </si>
  <si>
    <t>rippmenüüga valikulahtrid</t>
  </si>
  <si>
    <t>automaatselt täidetavad lahtrid</t>
  </si>
  <si>
    <t>tulemuste lahtrid</t>
  </si>
  <si>
    <t>mittetäidetavad lahtrid</t>
  </si>
  <si>
    <r>
      <rPr>
        <b/>
        <sz val="11"/>
        <color theme="1"/>
        <rFont val="Cambria"/>
        <family val="1"/>
      </rPr>
      <t>Organisatsioon ja ajaline periood.</t>
    </r>
    <r>
      <rPr>
        <sz val="11"/>
        <color theme="1"/>
        <rFont val="Cambria"/>
        <family val="1"/>
      </rPr>
      <t xml:space="preserve"> Esimese sammuna tuleks määratleda ajaline periood (aasta), mille kohta tahetakse KHG jalajälg arvutada. Lisaks määratletakse organisatsiooni ulatus (struktuuriüksused, osakonnad vms), mille KHG jalajälge hindama hakatakse. Need andmed koos organisatsiooni muude üldandmetega sisestatakse vahelehele 'Organisatsioon'. </t>
    </r>
  </si>
  <si>
    <t>Siia vahelehele sisestatakse järgmised andmed:</t>
  </si>
  <si>
    <t>Mudelis on ette antud kuni kolme aasta sisestamise võimalus. Allolevasse tabelisse 2 sisestatud aastaarv lisandub automaatselt ka valdkondlike/mõjualade vahelehtede ja koondtulemuste tabelite päisesse.</t>
  </si>
  <si>
    <t>Juhul kui soovitakse lisada rohkem aastaid, siis tuleb ise juurde luua ka vastavaid välju ja tabeleid teistel vahelehtedel. Seejuures tuleks veenduda, et kõik valemid oleksid õigesti kopeeritud.</t>
  </si>
  <si>
    <t>Sellisel juhul peaks organisatsioon sisestama ka mõjualade vahelehtedel (M1, M2 ja M3) andmed siin määratletud üksuste kaupa.</t>
  </si>
  <si>
    <t>Allolevasse tabelisse 5 tuleks rippmenüüst valida kõik organisatsiooni jaoks asjakohased mõjualad ja tegevused/heiteallikad, mille alusel alustatakse andmete kogumist ja jalajälje arvutamist vastavalt järgnevatele vahelehtedele.</t>
  </si>
  <si>
    <t>Organisatsioon peab välja selgitama oma seadmed, kus kasutatakse F-gaase ning seejärel milliseid F-gaase kasutatakse, vt ka vaheleht:</t>
  </si>
  <si>
    <t>Vastavate mõjualade alla kuuluvad tegevused/heiteallikad on mudelis esitatud eraldi vahelehtedena. Igal vahelehel on vastava valdkonna KHG arvutamise põhimõtete lühikirjeldus ja jalajälje arvutustabelid, kuhu organisatsioon saab sisestada oma andmed. Samuti on igal vahelehel lühike juhis, mis selgitab andmete kogumist ja tabelite täitmise loogikat.</t>
  </si>
  <si>
    <r>
      <rPr>
        <b/>
        <sz val="11"/>
        <color theme="1"/>
        <rFont val="Cambria"/>
        <family val="1"/>
      </rPr>
      <t>Tulemused.</t>
    </r>
    <r>
      <rPr>
        <sz val="11"/>
        <color theme="1"/>
        <rFont val="Cambria"/>
        <family val="1"/>
      </rPr>
      <t xml:space="preserve"> Valdkondlikud/mõjuala KHG jalajälje arvutustulemused on esitatud iga vastava vahelehe arvutustabeli või -tabelite all. KHG jalajälje koondtulemused võetakse kokku vahelehel 'Tulemused '. Koondtulemused  esitatakse mõjualade ja kategooriate/heiteallikate kaupa organisatsiooni poolt eelnevalt määratletud aasta ja üksuste kohta. Mudel võimaldab KHG jalajälge esitada ka n-ö suhteliste näitajatena (nt KHG heitgus töötaja kohta või käibe kohta). Sellisel juhul tuleb vahelehel 'Organisatsioon' ära määrata näitaja, mille suhtes tahetakse KHG heidet väljendada. </t>
    </r>
  </si>
  <si>
    <r>
      <rPr>
        <b/>
        <sz val="11"/>
        <rFont val="Cambria"/>
        <family val="1"/>
      </rPr>
      <t>Arvutusmudelis sisalduvad kasvuhoonegaasid</t>
    </r>
    <r>
      <rPr>
        <sz val="11"/>
        <rFont val="Cambria"/>
        <family val="1"/>
      </rPr>
      <t>. KHG jalajälg arvutatakse käesolevas arvutusmudelis seitsme peamise kasvuhoonegaasi lõikes:</t>
    </r>
  </si>
  <si>
    <t xml:space="preserve"> ̶  Organisatsiooni seadmete tekitatud hajusheitmed (M1-Hajusheitmed) </t>
  </si>
  <si>
    <r>
      <rPr>
        <sz val="11"/>
        <rFont val="Cambria"/>
        <family val="1"/>
      </rPr>
      <t xml:space="preserve">Käesolev mudel pakub universaalse raamistiku organisatsioonidele kasvuhoonegaaside (KHG) jalajälje arvutamiseks. Mudel toetub enamkasutatavatele rahvusvahelistele (eelkõige Greenhouse Gas Protocol, </t>
    </r>
    <r>
      <rPr>
        <u/>
        <sz val="11"/>
        <color theme="10"/>
        <rFont val="Cambria"/>
        <family val="1"/>
      </rPr>
      <t>https://ghgprotocol.org</t>
    </r>
    <r>
      <rPr>
        <sz val="11"/>
        <rFont val="Cambria"/>
        <family val="1"/>
      </rPr>
      <t xml:space="preserve">) KHG jalajälje arvutamise metoodilistele juhistele ja standarditele. Samas võtab mudel arvesse eestikeskseid eeldusi ja tingimusi (sh eriheitetegureid), mis loovad ühtlustatud metoodilise aluse ja andmestiku Eesti organisatsioonidele KHG jalajälje arvutamiseks. Peale arvutusmudeli on koostatud KHG jalajälje hindamise juhendmaterjal, mis annab detailsemaid suuniseid ja näpunäiteid KHG jalajälje hindamiseks ja tulemuste esitamiseks/aruandluseks organisatsioonides. Nii käesoleva KHG jalajälje arvutusmudeli kui ka vastava juhendi on koostanud Stockholmi Keskkonnainstituudi Tallinna Keskus Keskkonnaministeeriumi tellimusel. </t>
    </r>
  </si>
  <si>
    <t>Pistikhübriid (bensiin/tavaelekter) (keskmistatud)</t>
  </si>
  <si>
    <t>Pistikhübriid (diisel/tavaelekter) (keskmistatud)</t>
  </si>
  <si>
    <t>Pistikhübriid (bensiin/taastuvelekter) (keskmistatud)</t>
  </si>
  <si>
    <t>Pistikhübriid (diisel/taastuvelekter) (keskmistatud)</t>
  </si>
  <si>
    <t>KHG inventuuri aruanne 2022, arvestatud 75% fossiilne kütus, 25% taastuvelekter</t>
  </si>
  <si>
    <t>Elektrikaubikute keskmise elektritarbimise alusel 0,25 kWh/km (Volkswagen e-Crafter)</t>
  </si>
  <si>
    <t>Electric Vehicle Database</t>
  </si>
  <si>
    <t>https://ev-database.org/cheatsheet/energy-consumption-electric-car</t>
  </si>
  <si>
    <t>KHG inventuuri aruanne 2022, arvestatud 75% fossiilne kütus, 25% tavaelekter, Electric Vehicle Database (keskmine elektritarbimine: 0,2 kWh/km)</t>
  </si>
  <si>
    <t>Electric Vehicle Database (keskmine elektritarbimine: 0,2 kWh/km)</t>
  </si>
  <si>
    <t>Electric Vehicle Database, ev-database.org</t>
  </si>
  <si>
    <t xml:space="preserve">KHG inventuuri aruanne 2022, arvestatud 75% fossiilne kütus (mõjuala 1), 25% tavaelekter (mõjuala 2) </t>
  </si>
  <si>
    <t>ORGANISATSIOONI SÕIDUKITE ELEKTRITARBIMISEST TULENEV KHG HEIDE</t>
  </si>
  <si>
    <t xml:space="preserve">Organisatsioonile kuuluvate või liisitud sõidukite kütuse tarbimisest tulenev otsene KHG heide. </t>
  </si>
  <si>
    <t>Tabelis 1 veerus C 'Kütuseliik' valida kasutatud kütus (nt maantesõiduki bensiin või maantesõiduki diisel) ning sisestada veerus E 'Kütuse kogus' organisatsiooni vastavates sõidukites tarbitud aastane kütuse kogus.</t>
  </si>
  <si>
    <t xml:space="preserve">Selline lähenemine on mõnevõrra täpsem, kuna eri tüüpi maanteesõidukite (nt sõiduauto versus raskeveok) KHG heide on erinev, kuid eeldab, et organisatsioonis peetakse eri maanteesõidukitüüpide kütuse tarbimise arvestust. </t>
  </si>
  <si>
    <t>Sellise andmete olemasolul tuleks tabelis 2 veerus 'Kütuseliik ja sõidukitüüp' valida rippmenüüst kasutatud kütus ja sõidukitüüp (nt bensiin, sõiduauto) ning sisestada kõrvalveegu 'Kütuse kogus'</t>
  </si>
  <si>
    <t xml:space="preserve">Sellise arvestuse pidamise ja andmete olemasolu puhul tuleks tabelis 3 veerus 'Kütuseliik ja sõiduauto suurus' valida kasutatud kütus ja vastav sõiduauto suurus ning sisestada veerus 'Läbisõit' </t>
  </si>
  <si>
    <t>NB! Mitte kasutada erinevaid lähenemisi samaaegselt (nt sama kütuse kasutamist ei tohi arvestada erinevate lähenemistega), sest vastasel korral võivad KHG heitkoguste arvutuslik teke topelt arvesse minna.</t>
  </si>
  <si>
    <t>Organisatsiooni sõidukite kütus</t>
  </si>
  <si>
    <t xml:space="preserve">Organisatsiooni toodetud energia </t>
  </si>
  <si>
    <t>MÕJUALA 1: ORGANISATSIOONI SÕIDUKITE KÜTUS</t>
  </si>
  <si>
    <t>MÕJUALA 1: ORGANISATSIOONI TOODETUD ENERGIA</t>
  </si>
  <si>
    <t>Kauba- või inimeste veoks sisseostetud transport</t>
  </si>
  <si>
    <t>Töötajate tööreisid</t>
  </si>
  <si>
    <t>Töötajate tööle-koju liikumine</t>
  </si>
  <si>
    <r>
      <t>KHG jalajälg töötaja kohta (t CO</t>
    </r>
    <r>
      <rPr>
        <b/>
        <vertAlign val="subscript"/>
        <sz val="11"/>
        <color theme="3"/>
        <rFont val="Cambria"/>
        <family val="1"/>
      </rPr>
      <t>2</t>
    </r>
    <r>
      <rPr>
        <b/>
        <sz val="11"/>
        <color theme="3"/>
        <rFont val="Cambria"/>
        <family val="1"/>
      </rPr>
      <t xml:space="preserve"> ekv/in)</t>
    </r>
  </si>
  <si>
    <t>Organisatsiooni tööreiside transpordist tulenev kaudne KHG heide.</t>
  </si>
  <si>
    <t>Sõiduauto (pistikhübriid: bensiin/taastuvelekter) (keskmistatud)</t>
  </si>
  <si>
    <t>Sõiduauto (pistikhübriid: diisel/taastuvelekter) (keskmistatud)</t>
  </si>
  <si>
    <t>Sõiduauto (pistikhübriid: bensiin/tavaelekter) (keskmistatud)</t>
  </si>
  <si>
    <t>Sõiduauto (pistikhübriid: diisel/tavaelekter) (keskmistatud)</t>
  </si>
  <si>
    <t>Rong, diisel- ja elektrirongide keskmine (rongitüüp pole teada)</t>
  </si>
  <si>
    <t>KHG inventuuri aruanne 2022, kütteväärtus 42,5 MJ/kg</t>
  </si>
  <si>
    <t>KHG inventuuri aruanne 2022, kütteväärtus keskmiselt 11,9 MJ/kg</t>
  </si>
  <si>
    <t>JEC Well-To-Tank report v5. Publications Office of the European Union, 2020</t>
  </si>
  <si>
    <t>JEC Well-To-Tank report v5: Annexes. Publications Office of the European Union, 2020</t>
  </si>
  <si>
    <t>Hübriid, 1,4–2,0-liitrise bensiinimootoriga</t>
  </si>
  <si>
    <t>Hübriid, kuni 1,4-liitrise bensiinimootoriga</t>
  </si>
  <si>
    <t>Hübriid, suurus teadmata</t>
  </si>
  <si>
    <t>Hübriid, üle 2,0-liitrise bensiinimootoriga</t>
  </si>
  <si>
    <t>Pistikhübriid (bensiin) (keskmistatud)</t>
  </si>
  <si>
    <t>Pistikhübriid (diisel) (keskmistatud)</t>
  </si>
  <si>
    <t>KHG inventuuri aruanne 2022, arvestatud, et sõiduk tarbib keskmiselt 75% bensiini  ja 25% elektrit</t>
  </si>
  <si>
    <t>KHG inventuuri aruanne 2022, arvestatud, et sõiduk tarbib keskmiselt 75% diislit ja 25% elektrit</t>
  </si>
  <si>
    <r>
      <t>Biogeenne CO</t>
    </r>
    <r>
      <rPr>
        <vertAlign val="subscript"/>
        <sz val="12"/>
        <color theme="3"/>
        <rFont val="Cambria"/>
        <family val="1"/>
      </rPr>
      <t>2</t>
    </r>
    <r>
      <rPr>
        <sz val="12"/>
        <color theme="3"/>
        <rFont val="Cambria"/>
        <family val="1"/>
      </rPr>
      <t xml:space="preserve"> heide </t>
    </r>
  </si>
  <si>
    <t>Bensiin, suur (üle 2,0-liitrine)</t>
  </si>
  <si>
    <t>Bensiin, väike (kuni 1,4-liitrine bensiinimootor)</t>
  </si>
  <si>
    <t>Diisel, suur (üle 2,0-liitrine)</t>
  </si>
  <si>
    <t>Organisatsiooni sõidukite kütuse kasutamisest tulenev KHG heide</t>
  </si>
  <si>
    <t>Hajusheitmete globaalse soojenemise potentsiaali väärtused</t>
  </si>
  <si>
    <t>Kütuseliik ja sõiduauto tüüp</t>
  </si>
  <si>
    <t>1. Arvestuse pidamine kütuseliigi ja kütuse tarbimiskoguse põhjal</t>
  </si>
  <si>
    <t xml:space="preserve">2. Arvestuse pidamine kütuseliigi, maismaasõidukite tüübi ja kütuse tarbimiskoguse põhjal </t>
  </si>
  <si>
    <t>3. Arvestuse pidamine kütuseliigi, sõiduauto tüübi ja läbisõidu põhjal</t>
  </si>
  <si>
    <t xml:space="preserve">2. KHG HEIDE ARVUTATUD KÜTUSELIIGI, MAANTESÕIDUKI TÜÜBI JA TARBITUD KÜTUSE KOGUSE PÕHJAL </t>
  </si>
  <si>
    <t>3. KHG HEIDE ARVUTATUD SÕIDUAUTO TÜÜBI, KÜTUSELIIGI JA LÄBISÕIDU PÕHJAL</t>
  </si>
  <si>
    <t xml:space="preserve">2. Arvestuse pidamine kütuseliigi, maismaasõidukite tüübi ja kütuse koguse põhjal </t>
  </si>
  <si>
    <t>3. Arvestuse pidamine kasutatava kütuseliigi, sõiduauto tüübi ja läbisõidu põhjal</t>
  </si>
  <si>
    <t>Biodiislit FAME kasutavate sõiduautode keskmine eriheitetegur</t>
  </si>
  <si>
    <t>Biodiislit HVO kasutavate sõiduautode keskmine eriheitetegur</t>
  </si>
  <si>
    <t>Sisseostetud maismaatranspordivahendite arvutustabelid on esitatud vastavalt peamiste sõidukitüüpide ja kasutatavate kütuseliikide kohaselt:</t>
  </si>
  <si>
    <t>Valikus on antud veoautod vastavalt suurusele (suur, keskmine või teadmata suurus), auto kütuse liik ning kasutatav transpordi ühik (kas km või tonn-km).</t>
  </si>
  <si>
    <r>
      <rPr>
        <b/>
        <sz val="11"/>
        <color theme="1"/>
        <rFont val="Cambria"/>
        <family val="1"/>
      </rPr>
      <t>Tabel 1A: kaubik</t>
    </r>
    <r>
      <rPr>
        <sz val="11"/>
        <color theme="1"/>
        <rFont val="Cambria"/>
        <family val="1"/>
      </rPr>
      <t xml:space="preserve">. Veeru 'Kaubiku kütus ja transpordi ühik' tuleb valida kasutatud kaubiku kütuseliik ning kasutatav transpordi ühik (kas km või tonn-km põhised andmed). </t>
    </r>
  </si>
  <si>
    <t>Valikus on antud veoautod vastavalt suurusele (suur, keskmine, väike või teadmata suurus), auto kütuse liik ning kasutatav transpordi ühik (kas km või tonn-km).</t>
  </si>
  <si>
    <r>
      <rPr>
        <b/>
        <sz val="11"/>
        <color theme="1"/>
        <rFont val="Cambria"/>
        <family val="1"/>
      </rPr>
      <t>Eriheitetegurid</t>
    </r>
    <r>
      <rPr>
        <sz val="11"/>
        <color theme="1"/>
        <rFont val="Cambria"/>
        <family val="1"/>
      </rPr>
      <t>. Mudel sisaldab KHG jalajälje arvutamise aluseks olevate eriheitetegurite andmebaasi (esitatud valdkondade kaupa eraldi vahelehtedel - HT). Mudeli andmebaasis välja pakutud ja arvutustabelites vaikeväärtusena kasutatud eriheitetegurid on eestikesksed, mis tähendab seda, et need tuginevad eelkõige Eesti kasvuhoonegaaside inventuuri andmetele ja muudele eestikesksetele alusandmetele (andmebaasis on välja toodud viide eriheiteteguri allikale). Üksikutel juhtudel on kasutatud ka teiste riikide ja piirkondade juhendmaterjalides toodud eriheitetegureid. Käesolevas mudeliversioonis toodud eriheitetegurid toetuvad Eesti kasvuhoonegaaside inventuuri 2022. aasta aruandele, mis toob välja Eesti 2020. aasta KHG inventuuri andmed. Nimetatud aruandes on KHG arvestuse aluseks valitsustevahelise kliimamuutuse nõukogu (IPCC) neljanda hindamisaruande (AR4) andmed. Mudeli andmebaasis sisalduvad eriheitetegurid on kooskõlastatud vastavate ekspertorganisatsioonidega ja Keskkonnaministeeriumiga (mudeli koostamise tellija). Edaspidi on kavas hakata eriheitetegureid regulaarselt üle vaatama ja ajakohastama. Seega oleks soovitatav Eestis asuvate tegevuste KHG jalajälge arvutamisel kasutada mudeli vaikeväärtustena toodud eriheitetegureid. Samas on mudelisse jäetud võimalus lisada organisatsiooni enda poolt valitud eriheitetegureid. Selleks tuleb esmalt tabeli vastavas veerus 'Kas kasutate arvutusmudeli eriheitetegurit?' valida rippmenüüst 'Ei' ja seejärel sisestada eriheitetegur lahtrisse 'Muu eriheitetegur'. Soovitatav on lisada ka viide muu eriheiteteguri alusallikale. Muude eriheitetegurite kasutamine on asjakohane Eestist väljaspool asuvate tegevuste KHG heite arvutamisel. Samuti on asjakohane kasutada muid eriheitetegureid, kui kasutajal on olemas täpsemad (nt mõõtmistel põhinevad) ja spetsiifilistele tegevusaladele kohased  eriheitetegurid (vt ka eriheitetegurite valiku kaalutlusi KHG jalajälje hindamise juhises). Mudelis puuduvad mõjuala 3 alla kuuluvate järgmiste tegevuste eriheitetegurite vaikeväärtused: M3 - Ostetud  tooted, M3 - Müüdud tooted ning M3 - Finantsinvesteeringud. Juhul kui organisatsioon soovib KHG jalajälje arvutusse lisada ka need tegevused/heiteallikad, siis tuleks asjakohased alusandmed, sh eriheitetegurid või nende tegevustega seotud KHG heitkogused ise tuvastada ja mudeli arvutustabelitesse lisada.</t>
    </r>
  </si>
  <si>
    <t xml:space="preserve">organisatsiooni vastavate sõidukitega aastas läbisõidetud vahemaa kilomeetrites. </t>
  </si>
  <si>
    <t>Organisatsiooni poolt ostetud elektrienergia (sh elektrisõidukites kasutatava elektrienergia) tootmisest tulenev kaudne KHG heide.</t>
  </si>
  <si>
    <t>Sõiduvahend (taastuvelekter)</t>
  </si>
  <si>
    <t>Sõiduvahend (tavaelekter)</t>
  </si>
  <si>
    <r>
      <t>Mõjuala 2 all kajastatakse ka</t>
    </r>
    <r>
      <rPr>
        <b/>
        <sz val="11"/>
        <color theme="1"/>
        <rFont val="Cambria"/>
        <family val="1"/>
      </rPr>
      <t xml:space="preserve"> organisatsiooni sõidukite elektritarbimine</t>
    </r>
    <r>
      <rPr>
        <sz val="11"/>
        <color theme="1"/>
        <rFont val="Cambria"/>
        <family val="1"/>
      </rPr>
      <t>.</t>
    </r>
  </si>
  <si>
    <t xml:space="preserve">Sisseostetud elektrienergia tabelis tuleb rippmenüüst valida kas kasutatakse  taastuv- või tavaelektrit ning sisestada kasutatud aastane elektri kogus. </t>
  </si>
  <si>
    <t>sisestada vastavasse veergu sõidukite poolt tarbitud aastane elektrikogus.</t>
  </si>
  <si>
    <t>Kui elektrisõidukite puhul kasutatakse ainult läbisõidupõhist arvestust, siis võib kasutada vastavat (km) eriheitetegurit, mis on toodud eriheitetegurite lehel HT-Transport (M3) ja HT-Tööreisid (M3).</t>
  </si>
  <si>
    <t>Elektrit tarbivate sõidukite puhul tuleks eraldi arvestust pidada nende elektritarbimise kohta (eeldab mõõdikutega laadimiskohtade olemasolu või kiirlaadiates laadimist).</t>
  </si>
  <si>
    <t>Kui sõidukite laadimisel eraldi arvestust ei peeta (mõõdikutega laadimiskohad puuduvad), siis on soovitatav see elektrikogus arvestada üldise elektrikasutuse alla.</t>
  </si>
  <si>
    <t xml:space="preserve">Kõige tavalisem on sõidukite elektritarbimise arvestamine energia tarbimise põhjal (kWh/aastas). Sellisel juhul tuleb all esitatud tabelis valida kas kasutatakse taastuv- või tavaelektrit ning </t>
  </si>
  <si>
    <t xml:space="preserve">Pistikhübriidide puhul tuleks nende poolt kasutatav autokütus (nt bensiin, diisel) näidata mõjuala 1 all (M1-Sõidukid) ja tarbitud elektri osa mõjuala 2 all (M2-Ostetud elektrienergia). </t>
  </si>
  <si>
    <t>Organisatsiooni sõidukite elektri kasutamine ja sellest tulenev KHG heide tuleb kajastada mõjuala 2 all (M2 - Ostetud elektrienergia).</t>
  </si>
  <si>
    <t>ORGANISATSIOONI ENDA SÕIDUKITE KÜTUSE KASUTUSEST TULENEV KHG HEIDE KOKKU</t>
  </si>
  <si>
    <t>Kütus</t>
  </si>
  <si>
    <t>Rippmenüüde valikud:</t>
  </si>
  <si>
    <t xml:space="preserve">Ühe võimaliku andmeallikana saab aluseks võtta Suurbritannia riiklike eriheitetegurite andmebaasi organisatsioonidele KHG heite aruandluse jaoks: </t>
  </si>
  <si>
    <t>Soojusenergia tootmisest tulenev KHG jalajälg sõltub energiaallikast: taastuvkütused (nt biomass) või taastumatu/fossiilsed kütused (nt põlevkivi, kivisüsi, maagaas).</t>
  </si>
  <si>
    <t xml:space="preserve">(tarbitud soojusenergia KHG heide ja/või konkreetse kaugküttepiirkonna arvestusaasta eriheitetegur). Suurematel energiatarnijatel on kohustus esitada lõpptarbijatele muuhulgas ka nende poolt tarnitud kaugkütte </t>
  </si>
  <si>
    <t>M3 - Kütuste tootmine</t>
  </si>
  <si>
    <r>
      <t xml:space="preserve">KHG jalajälg muu näitaja kohta (siia sisestada valitud näitaja vahelehelt </t>
    </r>
    <r>
      <rPr>
        <b/>
        <sz val="11"/>
        <color theme="3"/>
        <rFont val="Calibri"/>
        <family val="2"/>
      </rPr>
      <t>'</t>
    </r>
    <r>
      <rPr>
        <b/>
        <sz val="11"/>
        <color theme="3"/>
        <rFont val="Cambria"/>
        <family val="1"/>
      </rPr>
      <t xml:space="preserve">Organisatsioon' tabelist 3) </t>
    </r>
  </si>
  <si>
    <t>M3-Sõidukikütused</t>
  </si>
  <si>
    <t>Sõidukikütuste ülesvoolu KHG heide</t>
  </si>
  <si>
    <t>M1-SÕIDUKID. ORGANISATSIOONI SÕIDUKITE KÜTUSTE ÜLESVOOLU KHG HEIDE</t>
  </si>
  <si>
    <t>Sõiduki läbisõit</t>
  </si>
  <si>
    <t>l või kg</t>
  </si>
  <si>
    <t>kg CO₂ ekv/l</t>
  </si>
  <si>
    <t>M3-TRANSPORT. TRANSPORDITEENUSE SÕIDUKITE KÜTUSTE ÜLESVOOLU KHG HEIDE</t>
  </si>
  <si>
    <t xml:space="preserve">Transporditeenuse kogus </t>
  </si>
  <si>
    <t>tonn-km või km</t>
  </si>
  <si>
    <t>tonn-km</t>
  </si>
  <si>
    <t>M3-TÖÖREISID JA M3-TÖÖLE-KOJU. SÕIDUKIKÜTUSTE ÜLESVOOLU KHG HEIDE</t>
  </si>
  <si>
    <t xml:space="preserve">Läbisõit </t>
  </si>
  <si>
    <t>km või sõitja-km</t>
  </si>
  <si>
    <t>sõitja-km</t>
  </si>
  <si>
    <t>SÕIDUKIKÜTUSTE ÜLESVOOLU KHG HEIDE KOKKU</t>
  </si>
  <si>
    <t>MÕJUALA 3: SÕIDUKIKÜTUSTE ÜLESVOOLU KHG HEIDE</t>
  </si>
  <si>
    <t xml:space="preserve">NB! Juhul kui organisatsiooni sõidukid (nt elektriautod ja pistikhübriidid) kasutavad elektrienergiat, siis tuleks sõidukites kasutatud elektri arvestus ja vastav KHG heide käsitleda mõjuala 2 all (tegu on kaudse heitega). </t>
  </si>
  <si>
    <t xml:space="preserve"> ̶  Sõidukikütuste ülesvoolu (toorkütuse kaevandamisest, rafineerimisest ja transpordist tulenev) kaudne KHG heide</t>
  </si>
  <si>
    <t>Arvutusmudel lubab sõidukite kasutamisest tulenevat otsest KHG heidet arvutada kolme enamlevinud andmekogumissüsteemi lõikes:</t>
  </si>
  <si>
    <r>
      <t xml:space="preserve">NB! Juhul kui organisatsioon soovib arvesse võtta ka sõidukites kasutatavate kütuste ülesvoolu (toorkütuse kaevandamisest, rafineerimisest ja transpordist tulenev ehk nn </t>
    </r>
    <r>
      <rPr>
        <i/>
        <sz val="11"/>
        <color theme="1"/>
        <rFont val="Cambria"/>
        <family val="1"/>
      </rPr>
      <t>well-to-tank</t>
    </r>
    <r>
      <rPr>
        <sz val="11"/>
        <color theme="1"/>
        <rFont val="Cambria"/>
        <family val="1"/>
      </rPr>
      <t xml:space="preserve">) kaudset KHG heidet, siis tuleks see arvutada eraldi </t>
    </r>
  </si>
  <si>
    <r>
      <t>Kütuste (nt bensiin, diisel, maagaas) kasutamisel sõidukimootoris eraldub atmosfääri kasvuhoonegaase. Käesoleval töölehel võetakse arvesse järgmised peamised kütuste kasutamise/põletamisel tekkivad KHG-d: CO</t>
    </r>
    <r>
      <rPr>
        <vertAlign val="subscript"/>
        <sz val="11"/>
        <color theme="1"/>
        <rFont val="Cambria"/>
        <family val="1"/>
      </rPr>
      <t>2</t>
    </r>
    <r>
      <rPr>
        <sz val="11"/>
        <color theme="1"/>
        <rFont val="Cambria"/>
        <family val="1"/>
      </rPr>
      <t>, CH</t>
    </r>
    <r>
      <rPr>
        <vertAlign val="subscript"/>
        <sz val="11"/>
        <color theme="1"/>
        <rFont val="Cambria"/>
        <family val="1"/>
      </rPr>
      <t>4</t>
    </r>
    <r>
      <rPr>
        <sz val="11"/>
        <color theme="1"/>
        <rFont val="Cambria"/>
        <family val="1"/>
      </rPr>
      <t>, N</t>
    </r>
    <r>
      <rPr>
        <vertAlign val="subscript"/>
        <sz val="11"/>
        <color theme="1"/>
        <rFont val="Cambria"/>
        <family val="1"/>
      </rPr>
      <t>2</t>
    </r>
    <r>
      <rPr>
        <sz val="11"/>
        <color theme="1"/>
        <rFont val="Cambria"/>
        <family val="1"/>
      </rPr>
      <t>O, mis koondarvestuses tuuakse välja CO</t>
    </r>
    <r>
      <rPr>
        <vertAlign val="subscript"/>
        <sz val="11"/>
        <color theme="1"/>
        <rFont val="Cambria"/>
        <family val="1"/>
      </rPr>
      <t>2</t>
    </r>
    <r>
      <rPr>
        <sz val="11"/>
        <color theme="1"/>
        <rFont val="Cambria"/>
        <family val="1"/>
      </rPr>
      <t xml:space="preserve"> ekvivalendina.</t>
    </r>
  </si>
  <si>
    <r>
      <t xml:space="preserve">NB! Juhul kui organisatsioon soovib arvesse võtta ka sisseostetud transpordi ja kaupade veol  sõidukites kasutatavate kütuste ülesvoolu (toorkütuse kaevandamisest, rafineerimisest ja transpordist tulenev ehk nn </t>
    </r>
    <r>
      <rPr>
        <i/>
        <sz val="11"/>
        <color theme="1"/>
        <rFont val="Cambria"/>
        <family val="1"/>
      </rPr>
      <t>well-to-tank</t>
    </r>
    <r>
      <rPr>
        <sz val="11"/>
        <color theme="1"/>
        <rFont val="Cambria"/>
        <family val="1"/>
      </rPr>
      <t xml:space="preserve">) kaudset KHG heidet, siis tuleks see arvutada eraldi </t>
    </r>
  </si>
  <si>
    <t xml:space="preserve">Tööreisidest tulenev kaudne KHG heide tekitatakse üldjuhul sõiduvahendite kasutamise käigus. Käesoleval töölehel võetakse arvesse kütuste (nt bensiin, diisel, maagaas) kasutamisel/põletamisel sõidukimootoris atmosfääri eralduvad KHG-d. </t>
  </si>
  <si>
    <r>
      <t xml:space="preserve">NB! Juhul kui organisatsioon soovib arvesse võtta ka tööreiside jaoks kasutatavate sõidukite kütuste ülesvoolu (toorkütuse kaevandamisest, rafineerimisest ja transpordist tulenev ehk nn </t>
    </r>
    <r>
      <rPr>
        <i/>
        <sz val="11"/>
        <color theme="1"/>
        <rFont val="Cambria"/>
        <family val="1"/>
      </rPr>
      <t>well-to-tank</t>
    </r>
    <r>
      <rPr>
        <sz val="11"/>
        <color theme="1"/>
        <rFont val="Cambria"/>
        <family val="1"/>
      </rPr>
      <t xml:space="preserve">) kaudset KHG heidet, </t>
    </r>
  </si>
  <si>
    <r>
      <t>Mudel võtab arvesse järgmised peamised kütuste põletamisel tekkivad KHG-d: CO</t>
    </r>
    <r>
      <rPr>
        <vertAlign val="subscript"/>
        <sz val="11"/>
        <color theme="1"/>
        <rFont val="Cambria"/>
        <family val="1"/>
      </rPr>
      <t>2</t>
    </r>
    <r>
      <rPr>
        <sz val="11"/>
        <color theme="1"/>
        <rFont val="Cambria"/>
        <family val="1"/>
      </rPr>
      <t>, CH</t>
    </r>
    <r>
      <rPr>
        <vertAlign val="subscript"/>
        <sz val="11"/>
        <color theme="1"/>
        <rFont val="Cambria"/>
        <family val="1"/>
      </rPr>
      <t>4</t>
    </r>
    <r>
      <rPr>
        <sz val="11"/>
        <color theme="1"/>
        <rFont val="Cambria"/>
        <family val="1"/>
      </rPr>
      <t>, N</t>
    </r>
    <r>
      <rPr>
        <vertAlign val="subscript"/>
        <sz val="11"/>
        <color theme="1"/>
        <rFont val="Cambria"/>
        <family val="1"/>
      </rPr>
      <t>2</t>
    </r>
    <r>
      <rPr>
        <sz val="11"/>
        <color theme="1"/>
        <rFont val="Cambria"/>
        <family val="1"/>
      </rPr>
      <t>O, mis koondarvestuses tuuakse välja CO</t>
    </r>
    <r>
      <rPr>
        <vertAlign val="subscript"/>
        <sz val="11"/>
        <color theme="1"/>
        <rFont val="Cambria"/>
        <family val="1"/>
      </rPr>
      <t>2</t>
    </r>
    <r>
      <rPr>
        <sz val="11"/>
        <color theme="1"/>
        <rFont val="Cambria"/>
        <family val="1"/>
      </rPr>
      <t xml:space="preserve"> ekvivalendina.</t>
    </r>
  </si>
  <si>
    <t xml:space="preserve">Ka tööle-koju liikumisest  tulenev kaudne KHG heide tekitatakse üldjuhul sõiduvahendite kasutamise käigus. Käesoleval töölehel võetakse arvesse kütuste (nt bensiin, diisel, maagaas) kasutamisel/põletamisel sõidukimootoris </t>
  </si>
  <si>
    <r>
      <t>atmosfääri eralduvad KHG-d. Mudel võtab arvesse järgmised peamised kütuste põletamisel tekkivad KHG-d: CO</t>
    </r>
    <r>
      <rPr>
        <vertAlign val="subscript"/>
        <sz val="11"/>
        <color theme="1"/>
        <rFont val="Cambria"/>
        <family val="1"/>
      </rPr>
      <t>2</t>
    </r>
    <r>
      <rPr>
        <sz val="11"/>
        <color theme="1"/>
        <rFont val="Cambria"/>
        <family val="1"/>
      </rPr>
      <t>, CH</t>
    </r>
    <r>
      <rPr>
        <vertAlign val="subscript"/>
        <sz val="11"/>
        <color theme="1"/>
        <rFont val="Cambria"/>
        <family val="1"/>
      </rPr>
      <t>4</t>
    </r>
    <r>
      <rPr>
        <sz val="11"/>
        <color theme="1"/>
        <rFont val="Cambria"/>
        <family val="1"/>
      </rPr>
      <t>, N</t>
    </r>
    <r>
      <rPr>
        <vertAlign val="subscript"/>
        <sz val="11"/>
        <color theme="1"/>
        <rFont val="Cambria"/>
        <family val="1"/>
      </rPr>
      <t>2</t>
    </r>
    <r>
      <rPr>
        <sz val="11"/>
        <color theme="1"/>
        <rFont val="Cambria"/>
        <family val="1"/>
      </rPr>
      <t>O, mis koondarvestuses tuuakse välja CO</t>
    </r>
    <r>
      <rPr>
        <vertAlign val="subscript"/>
        <sz val="11"/>
        <color theme="1"/>
        <rFont val="Cambria"/>
        <family val="1"/>
      </rPr>
      <t>2</t>
    </r>
    <r>
      <rPr>
        <sz val="11"/>
        <color theme="1"/>
        <rFont val="Cambria"/>
        <family val="1"/>
      </rPr>
      <t xml:space="preserve"> ekvivalendina.</t>
    </r>
  </si>
  <si>
    <r>
      <t xml:space="preserve">Kui on soov arvesse võtta sõidukikütustest (nii organsatsiooni enda sõidukite, sisseostetud transporditeenuse kui ka tööreiside ja tööle-koju liikumisest) tulenevat ülesvoolu ehk nn </t>
    </r>
    <r>
      <rPr>
        <i/>
        <sz val="11"/>
        <color theme="1"/>
        <rFont val="Cambria"/>
        <family val="1"/>
      </rPr>
      <t>well-to-tank</t>
    </r>
    <r>
      <rPr>
        <sz val="11"/>
        <color theme="1"/>
        <rFont val="Cambria"/>
        <family val="1"/>
      </rPr>
      <t xml:space="preserve"> (toorkütuse kaevandamise, </t>
    </r>
  </si>
  <si>
    <t xml:space="preserve">rafineerimise ja transpordiga) seotud KHG heidet, siis tuleks kasutatud kütuste vastav kaudne heide eraldi arvutada. Ka GHG protokoll soovitab, et detailsemate KHG jalajälje arvutuste puhul tuleks mõjuala 3 tegevusvaldkondade, </t>
  </si>
  <si>
    <t xml:space="preserve">sh transpordikütuste puhul arvesse võtta ülesvoolu kaudseid heiteid. Sõidukikütuste ülesvoolu kaudse KHG heite arvutamisel tuleb aga arvestada seda, et andemeallikad vastavate olelusringipõhiste eriheitetegurite jaoks </t>
  </si>
  <si>
    <r>
      <t xml:space="preserve">on piiratud. Käesolev mudel ei paku eestikeskseid eriheitetegureid kütuste ülesvoolu ehk nn </t>
    </r>
    <r>
      <rPr>
        <i/>
        <sz val="11"/>
        <color theme="1"/>
        <rFont val="Cambria"/>
        <family val="1"/>
      </rPr>
      <t>well-to-tank</t>
    </r>
    <r>
      <rPr>
        <sz val="11"/>
        <color theme="1"/>
        <rFont val="Cambria"/>
        <family val="1"/>
      </rPr>
      <t xml:space="preserve"> KHG heite arvutamiseks.</t>
    </r>
  </si>
  <si>
    <t>Allesitatud  tabeleid võib kasutada, et arvutada vastavalt organisatsiooni enda sõidukite (M1-Sõidukid), sisseostetud transporditeenuse (M3-Transport), tööreisidel kasutatud sõidukite (M3-Tööreisid) ja tööle-koju liikumisel</t>
  </si>
  <si>
    <t xml:space="preserve"> (M3-Tööle-koju) kasutatud kütuste ülesvoolu KHG kaudset heidet. Selleks tuleb sisestada vastavalt andmed nimetatud tegevusvaldkondade/tabelite lõikes (nt kütuse liik, kogus või läbisõit) ning lisada asjakohane eriheitetegur.</t>
  </si>
  <si>
    <r>
      <t xml:space="preserve">Tabeli lõpus esitatakse organisatsiooni poolt kas vahetult või kaudselt kasutatud sõidukikütuste ülesvoolu ehk nn </t>
    </r>
    <r>
      <rPr>
        <i/>
        <sz val="11"/>
        <rFont val="Cambria"/>
        <family val="1"/>
      </rPr>
      <t>well-to-tank</t>
    </r>
    <r>
      <rPr>
        <sz val="11"/>
        <rFont val="Cambria"/>
        <family val="1"/>
      </rPr>
      <t xml:space="preserve"> KHG koguheide (kg ja t CO</t>
    </r>
    <r>
      <rPr>
        <vertAlign val="subscript"/>
        <sz val="11"/>
        <rFont val="Cambria"/>
        <family val="1"/>
      </rPr>
      <t>2</t>
    </r>
    <r>
      <rPr>
        <sz val="11"/>
        <rFont val="Cambria"/>
        <family val="1"/>
      </rPr>
      <t xml:space="preserve"> ekv kohta). </t>
    </r>
  </si>
  <si>
    <r>
      <t xml:space="preserve">Nimetatud heide (nn </t>
    </r>
    <r>
      <rPr>
        <i/>
        <sz val="11"/>
        <rFont val="Cambria"/>
        <family val="1"/>
      </rPr>
      <t>well-to-tank</t>
    </r>
    <r>
      <rPr>
        <sz val="11"/>
        <rFont val="Cambria"/>
        <family val="1"/>
      </rPr>
      <t xml:space="preserve">) tuleks ka KHG jalajälje hindamise aruandes/kokkuvõttes esitada eraldi sõidukikütuse kasutamisega (nn </t>
    </r>
    <r>
      <rPr>
        <i/>
        <sz val="11"/>
        <rFont val="Cambria"/>
        <family val="1"/>
      </rPr>
      <t>tank-to-wheel</t>
    </r>
    <r>
      <rPr>
        <sz val="11"/>
        <rFont val="Cambria"/>
        <family val="1"/>
      </rPr>
      <t>) seotud KHG heitest.</t>
    </r>
  </si>
  <si>
    <t>mõjuala 3 töölehel M3-Sõidukikütused.</t>
  </si>
  <si>
    <t>siis tuleks see arvutada eraldi mõjuala 3 töölehel M3-Sõidukikütused.</t>
  </si>
  <si>
    <r>
      <t xml:space="preserve">NB! Juhul kui organisatsioon soovib arvesse võtta ka tööle-koju liikumiseks kasutatavate sõidukite kütuste ülesvoolu (toorkütuse kaevandamisest, rafineerimisest ja transpordist tulenev ehk nn </t>
    </r>
    <r>
      <rPr>
        <i/>
        <sz val="11"/>
        <color theme="1"/>
        <rFont val="Cambria"/>
        <family val="1"/>
      </rPr>
      <t>well-to-tank</t>
    </r>
    <r>
      <rPr>
        <sz val="11"/>
        <color theme="1"/>
        <rFont val="Cambria"/>
        <family val="1"/>
      </rPr>
      <t xml:space="preserve">) kaudset KHG heidet, </t>
    </r>
  </si>
  <si>
    <t>Eriheitetegurite ühikud:</t>
  </si>
  <si>
    <t>kg CO₂ ekv/km</t>
  </si>
  <si>
    <t>kg CO₂ ekv/sõitja-km</t>
  </si>
  <si>
    <r>
      <rPr>
        <sz val="11"/>
        <rFont val="Cambria"/>
        <family val="1"/>
      </rPr>
      <t xml:space="preserve">Conversion factors 2022: full set (for advanced users) </t>
    </r>
    <r>
      <rPr>
        <u/>
        <sz val="11"/>
        <color theme="10"/>
        <rFont val="Cambria"/>
        <family val="1"/>
      </rPr>
      <t>https://www.gov.uk/government/publications/greenhouse-gas-reporting-conversion-factors-2022</t>
    </r>
  </si>
  <si>
    <t>Bensiinimootoriga sõiduautode arvutuslik keskmine KHG inventuuri aruande 2022 põhjal</t>
  </si>
  <si>
    <t>Diiselmootoriga sõiduautode keskmine KHG inventuuri aruande 2022 põhjal</t>
  </si>
  <si>
    <t>Hübriidmootoriga sõiduautode arvutuslik keskmine KHG inventuuri aruande 2022 põhjal</t>
  </si>
  <si>
    <t>Keskmistatud sõiduautode keskmine KHG inventuuri aruande 2022 põhjal</t>
  </si>
  <si>
    <t>Bensiini- ja diiselmootoriga sõiduautode arvutuslik keskmine KHG inventuuri aruande 2022 põhjal</t>
  </si>
  <si>
    <t>KHG inventuur/COPERT, kõigi jäiga kerega veoauto suuruste biodiisli (FAME) eriheitetegurite arvutuslik keskmine</t>
  </si>
  <si>
    <t>KHG inventuur/COPERT, kõigi jäiga kerega veoauto suuruste biodiisli (HVO) eriheitetegurite arvutuslik keskmine</t>
  </si>
  <si>
    <t>KHG inventuur/COPERT, kõigi jäiga kerega veoauto suuruste diisli eriheitetegurite arvutuslik keskmine</t>
  </si>
  <si>
    <t>Organisatsiooni toodetud energia</t>
  </si>
  <si>
    <t xml:space="preserve">Liigiti kogutud olmejäätmete puhul ei võeta eeldusena arvesse edasise käitlusega (sh ringlussevõtuga) seotud KHG heidet, kuna nende tegevustega seotud KHG heide loetakse jäätmekäitlus-/ringlussevõtu süsteemi heiteks.  </t>
  </si>
  <si>
    <r>
      <t>tootmise KHG heite kogus. Kaugkütte ettevõte peab esitama KHG heite andmed CO</t>
    </r>
    <r>
      <rPr>
        <vertAlign val="subscript"/>
        <sz val="11"/>
        <rFont val="Cambria"/>
        <family val="1"/>
      </rPr>
      <t>2</t>
    </r>
    <r>
      <rPr>
        <sz val="11"/>
        <rFont val="Cambria"/>
        <family val="1"/>
      </rPr>
      <t xml:space="preserve"> ekvivalendina (mitte CO</t>
    </r>
    <r>
      <rPr>
        <vertAlign val="subscript"/>
        <sz val="11"/>
        <rFont val="Cambria"/>
        <family val="1"/>
      </rPr>
      <t>2</t>
    </r>
    <r>
      <rPr>
        <sz val="11"/>
        <rFont val="Cambria"/>
        <family val="1"/>
      </rPr>
      <t xml:space="preserve"> heitena), mis võtab arvesse kõiki asjakohaseid kasvuhoonegaase.  Juhul, kui kaugkütte ettevõtte poolt esitatavad andmed ei ole täielikud, tuleb see KHG jalajälje aruandes ära märkida.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</si>
</sst>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_-* #,##0_-;\-* #,##0_-;_-* &quot;-&quot;_-;_-@_-"/>
    <numFmt numFmtId="165" formatCode="_-* #,##0.00_-;\-* #,##0.00_-;_-*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_(* #,##0.0_);_(* \(#,##0.0\);_(* &quot;-&quot;??_);_(@_)"/>
    <numFmt numFmtId="171" formatCode="_(* #,##0.000_);_(* \(#,##0.000\);_(* &quot;-&quot;??_);_(@_)"/>
    <numFmt numFmtId="172" formatCode="0.0E+00"/>
    <numFmt numFmtId="173" formatCode="_(* #,##0.000000_);_(* \(#,##0.000000\);_(* &quot;-&quot;??_);_(@_)"/>
    <numFmt numFmtId="174" formatCode="_(* #,##0.00000_);_(* \(#,##0.00000\);_(* &quot;-&quot;??_);_(@_)"/>
    <numFmt numFmtId="175" formatCode="0.000"/>
    <numFmt numFmtId="176" formatCode="0.0000"/>
    <numFmt numFmtId="177" formatCode="0.00000"/>
    <numFmt numFmtId="178" formatCode="??0.0?????"/>
    <numFmt numFmtId="179" formatCode="??0.0??????"/>
    <numFmt numFmtId="180" formatCode="??0.0????"/>
    <numFmt numFmtId="181" formatCode="??0.00"/>
    <numFmt numFmtId="182" formatCode="??0.00000"/>
    <numFmt numFmtId="183" formatCode="_(* #,##0.0000_);_(* \(#,##0.0000\);_(* &quot;-&quot;??_);_(@_)"/>
    <numFmt numFmtId="184" formatCode="_(* #,##0.00_);_(* \(#,##0.00\);_(@_)"/>
    <numFmt numFmtId="185" formatCode="_(* #,##0.0000_);_(* \(#,##0.0000\);_(@_)"/>
    <numFmt numFmtId="186" formatCode="0.00_)"/>
    <numFmt numFmtId="187" formatCode="_(* #,##0_);_(* \(#,##0\);_(@_)"/>
    <numFmt numFmtId="188" formatCode="0.000000"/>
    <numFmt numFmtId="189" formatCode="??0.0??"/>
    <numFmt numFmtId="190" formatCode="#,##0.000"/>
    <numFmt numFmtId="191" formatCode="#,##0.0000"/>
    <numFmt numFmtId="192" formatCode="0.0%"/>
  </numFmts>
  <fonts count="99">
    <font>
      <sz val="11"/>
      <color theme="1"/>
      <name val="Calibri"/>
      <family val="2"/>
      <scheme val="minor"/>
    </font>
    <font>
      <sz val="11"/>
      <color theme="1"/>
      <name val="Calibri"/>
      <family val="2"/>
      <scheme val="minor"/>
    </font>
    <font>
      <sz val="18"/>
      <color theme="3"/>
      <name val="Calibri Light"/>
      <family val="2"/>
      <scheme val="maj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Verdana"/>
      <family val="2"/>
    </font>
    <font>
      <b/>
      <sz val="12"/>
      <name val="Arial"/>
      <family val="2"/>
    </font>
    <font>
      <sz val="10"/>
      <name val="Arial"/>
      <family val="2"/>
    </font>
    <font>
      <i/>
      <sz val="10"/>
      <color theme="4"/>
      <name val="Arial"/>
      <family val="2"/>
    </font>
    <font>
      <b/>
      <sz val="10"/>
      <name val="Arial"/>
      <family val="2"/>
    </font>
    <font>
      <b/>
      <vertAlign val="subscript"/>
      <sz val="10"/>
      <name val="Arial"/>
      <family val="2"/>
    </font>
    <font>
      <b/>
      <sz val="10"/>
      <color theme="5"/>
      <name val="Arial"/>
      <family val="2"/>
    </font>
    <font>
      <b/>
      <sz val="9"/>
      <name val="Arial"/>
      <family val="2"/>
    </font>
    <font>
      <b/>
      <vertAlign val="subscript"/>
      <sz val="9"/>
      <name val="Arial"/>
      <family val="2"/>
    </font>
    <font>
      <i/>
      <sz val="9"/>
      <color theme="4"/>
      <name val="Arial"/>
      <family val="2"/>
    </font>
    <font>
      <sz val="10"/>
      <color rgb="FFFF0000"/>
      <name val="Arial"/>
      <family val="2"/>
    </font>
    <font>
      <sz val="9"/>
      <name val="Arial"/>
      <family val="2"/>
    </font>
    <font>
      <sz val="9"/>
      <color indexed="10"/>
      <name val="Arial"/>
      <family val="2"/>
    </font>
    <font>
      <u/>
      <sz val="10"/>
      <color indexed="12"/>
      <name val="Verdana"/>
      <family val="2"/>
    </font>
    <font>
      <u/>
      <sz val="10"/>
      <name val="Arial"/>
      <family val="2"/>
    </font>
    <font>
      <u/>
      <sz val="9"/>
      <color indexed="12"/>
      <name val="Arial"/>
      <family val="2"/>
    </font>
    <font>
      <sz val="10"/>
      <color theme="1"/>
      <name val="Arial"/>
      <family val="2"/>
    </font>
    <font>
      <vertAlign val="subscript"/>
      <sz val="11"/>
      <color indexed="56"/>
      <name val="Calibri"/>
      <family val="2"/>
    </font>
    <font>
      <u/>
      <sz val="11"/>
      <color indexed="12"/>
      <name val="Calibri"/>
      <family val="2"/>
    </font>
    <font>
      <sz val="11"/>
      <color indexed="56"/>
      <name val="Calibri"/>
      <family val="2"/>
    </font>
    <font>
      <sz val="10"/>
      <color theme="9" tint="-0.499984740745262"/>
      <name val="Arial"/>
      <family val="2"/>
    </font>
    <font>
      <i/>
      <sz val="10"/>
      <color rgb="FFFF0000"/>
      <name val="Arial"/>
      <family val="2"/>
    </font>
    <font>
      <u/>
      <sz val="10"/>
      <color theme="11"/>
      <name val="Arial"/>
      <family val="2"/>
    </font>
    <font>
      <b/>
      <sz val="10"/>
      <color theme="0"/>
      <name val="Arial"/>
      <family val="2"/>
    </font>
    <font>
      <sz val="11"/>
      <color rgb="FF053D5F"/>
      <name val="Calibri"/>
      <family val="2"/>
      <scheme val="minor"/>
    </font>
    <font>
      <sz val="11"/>
      <color rgb="FF002060"/>
      <name val="Calibri"/>
      <family val="2"/>
      <scheme val="minor"/>
    </font>
    <font>
      <sz val="8"/>
      <name val="Calibri"/>
      <family val="2"/>
      <scheme val="minor"/>
    </font>
    <font>
      <sz val="10"/>
      <color theme="1"/>
      <name val="Calibri"/>
      <family val="2"/>
      <scheme val="minor"/>
    </font>
    <font>
      <b/>
      <vertAlign val="subscript"/>
      <sz val="12"/>
      <name val="Arial"/>
      <family val="2"/>
    </font>
    <font>
      <vertAlign val="subscript"/>
      <sz val="9"/>
      <name val="Arial"/>
      <family val="2"/>
    </font>
    <font>
      <sz val="10"/>
      <color rgb="FF00B050"/>
      <name val="Arial"/>
      <family val="2"/>
    </font>
    <font>
      <vertAlign val="superscript"/>
      <sz val="10"/>
      <name val="Arial"/>
      <family val="2"/>
    </font>
    <font>
      <vertAlign val="superscript"/>
      <sz val="9"/>
      <name val="Arial"/>
      <family val="2"/>
    </font>
    <font>
      <vertAlign val="superscript"/>
      <sz val="9"/>
      <name val="Geneva"/>
    </font>
    <font>
      <b/>
      <sz val="10"/>
      <color theme="0"/>
      <name val="Calibri"/>
      <family val="2"/>
      <scheme val="minor"/>
    </font>
    <font>
      <sz val="8"/>
      <name val="Arial"/>
      <family val="2"/>
    </font>
    <font>
      <b/>
      <i/>
      <sz val="16"/>
      <name val="Helv"/>
    </font>
    <font>
      <vertAlign val="subscript"/>
      <sz val="10"/>
      <name val="Arial"/>
      <family val="2"/>
    </font>
    <font>
      <sz val="11"/>
      <name val="Calibri"/>
      <family val="2"/>
      <scheme val="minor"/>
    </font>
    <font>
      <u/>
      <sz val="11"/>
      <color theme="10"/>
      <name val="Calibri"/>
      <family val="2"/>
      <scheme val="minor"/>
    </font>
    <font>
      <sz val="12"/>
      <color theme="1"/>
      <name val="Calibri"/>
      <family val="2"/>
      <scheme val="minor"/>
    </font>
    <font>
      <b/>
      <sz val="15"/>
      <color theme="3"/>
      <name val="Calibri"/>
      <family val="2"/>
      <charset val="186"/>
      <scheme val="minor"/>
    </font>
    <font>
      <b/>
      <sz val="13"/>
      <color theme="3"/>
      <name val="Calibri"/>
      <family val="2"/>
      <charset val="186"/>
      <scheme val="minor"/>
    </font>
    <font>
      <sz val="11"/>
      <color rgb="FF3F3F76"/>
      <name val="Calibri"/>
      <family val="2"/>
      <charset val="186"/>
      <scheme val="minor"/>
    </font>
    <font>
      <sz val="11"/>
      <color rgb="FF000000"/>
      <name val="Calibri"/>
      <family val="2"/>
    </font>
    <font>
      <b/>
      <sz val="8"/>
      <name val="Tahoma"/>
      <family val="2"/>
    </font>
    <font>
      <sz val="9"/>
      <color indexed="81"/>
      <name val="Segoe UI"/>
      <family val="2"/>
    </font>
    <font>
      <sz val="11"/>
      <color theme="1"/>
      <name val="Cambria"/>
      <family val="1"/>
    </font>
    <font>
      <b/>
      <sz val="15"/>
      <color theme="3"/>
      <name val="Cambria"/>
      <family val="1"/>
    </font>
    <font>
      <b/>
      <sz val="14"/>
      <name val="Cambria"/>
      <family val="1"/>
    </font>
    <font>
      <u/>
      <sz val="9"/>
      <color theme="10"/>
      <name val="Cambria"/>
      <family val="1"/>
    </font>
    <font>
      <b/>
      <sz val="11"/>
      <color theme="1"/>
      <name val="Cambria"/>
      <family val="1"/>
    </font>
    <font>
      <b/>
      <sz val="11"/>
      <color theme="0"/>
      <name val="Cambria"/>
      <family val="1"/>
    </font>
    <font>
      <b/>
      <sz val="11"/>
      <name val="Cambria"/>
      <family val="1"/>
    </font>
    <font>
      <sz val="11"/>
      <name val="Cambria"/>
      <family val="1"/>
    </font>
    <font>
      <sz val="12"/>
      <color theme="1"/>
      <name val="Cambria"/>
      <family val="1"/>
    </font>
    <font>
      <vertAlign val="subscript"/>
      <sz val="11"/>
      <color theme="1"/>
      <name val="Cambria"/>
      <family val="1"/>
    </font>
    <font>
      <b/>
      <sz val="13"/>
      <color theme="3"/>
      <name val="Cambria"/>
      <family val="1"/>
    </font>
    <font>
      <u/>
      <sz val="11"/>
      <color theme="10"/>
      <name val="Cambria"/>
      <family val="1"/>
    </font>
    <font>
      <sz val="11"/>
      <color rgb="FF053D5F"/>
      <name val="Cambria"/>
      <family val="1"/>
    </font>
    <font>
      <b/>
      <sz val="11"/>
      <color theme="3"/>
      <name val="Cambria"/>
      <family val="1"/>
    </font>
    <font>
      <sz val="8"/>
      <name val="Cambria"/>
      <family val="1"/>
    </font>
    <font>
      <vertAlign val="superscript"/>
      <sz val="11"/>
      <name val="Cambria"/>
      <family val="1"/>
    </font>
    <font>
      <sz val="8"/>
      <color theme="1"/>
      <name val="Cambria"/>
      <family val="1"/>
    </font>
    <font>
      <b/>
      <sz val="11"/>
      <color rgb="FF44546A"/>
      <name val="Cambria"/>
      <family val="1"/>
    </font>
    <font>
      <vertAlign val="superscript"/>
      <sz val="11"/>
      <color theme="1"/>
      <name val="Cambria"/>
      <family val="1"/>
    </font>
    <font>
      <sz val="11"/>
      <color rgb="FF000000"/>
      <name val="Cambria"/>
      <family val="1"/>
    </font>
    <font>
      <vertAlign val="subscript"/>
      <sz val="11"/>
      <name val="Cambria"/>
      <family val="1"/>
    </font>
    <font>
      <i/>
      <sz val="11"/>
      <color rgb="FF053D5F"/>
      <name val="Cambria"/>
      <family val="1"/>
    </font>
    <font>
      <sz val="11"/>
      <color rgb="FF002060"/>
      <name val="Cambria"/>
      <family val="1"/>
    </font>
    <font>
      <b/>
      <sz val="11"/>
      <color rgb="FFFFFFFF"/>
      <name val="Cambria"/>
      <family val="1"/>
    </font>
    <font>
      <vertAlign val="subscript"/>
      <sz val="11"/>
      <color rgb="FF000000"/>
      <name val="Cambria"/>
      <family val="1"/>
    </font>
    <font>
      <sz val="9"/>
      <color rgb="FFFF0000"/>
      <name val="Cambria"/>
      <family val="1"/>
    </font>
    <font>
      <sz val="11"/>
      <color rgb="FFFF0000"/>
      <name val="Cambria"/>
      <family val="1"/>
    </font>
    <font>
      <i/>
      <sz val="11"/>
      <color theme="1"/>
      <name val="Cambria"/>
      <family val="1"/>
    </font>
    <font>
      <b/>
      <vertAlign val="subscript"/>
      <sz val="11"/>
      <color rgb="FF44546A"/>
      <name val="Cambria"/>
      <family val="1"/>
    </font>
    <font>
      <sz val="11"/>
      <color theme="0"/>
      <name val="Cambria"/>
      <family val="1"/>
    </font>
    <font>
      <b/>
      <vertAlign val="subscript"/>
      <sz val="11"/>
      <color theme="0"/>
      <name val="Cambria"/>
      <family val="1"/>
    </font>
    <font>
      <b/>
      <vertAlign val="subscript"/>
      <sz val="11"/>
      <color theme="3"/>
      <name val="Cambria"/>
      <family val="1"/>
    </font>
    <font>
      <sz val="11"/>
      <color theme="3"/>
      <name val="Cambria"/>
      <family val="1"/>
    </font>
    <font>
      <b/>
      <vertAlign val="superscript"/>
      <sz val="11"/>
      <color theme="3"/>
      <name val="Cambria"/>
      <family val="1"/>
    </font>
    <font>
      <b/>
      <sz val="12"/>
      <color theme="1"/>
      <name val="Cambria"/>
      <family val="1"/>
    </font>
    <font>
      <sz val="12"/>
      <name val="Cambria"/>
      <family val="1"/>
    </font>
    <font>
      <sz val="12"/>
      <color theme="3"/>
      <name val="Cambria"/>
      <family val="1"/>
    </font>
    <font>
      <vertAlign val="subscript"/>
      <sz val="12"/>
      <color theme="3"/>
      <name val="Cambria"/>
      <family val="1"/>
    </font>
    <font>
      <sz val="12"/>
      <color theme="0"/>
      <name val="Cambria"/>
      <family val="1"/>
    </font>
    <font>
      <sz val="9"/>
      <color theme="1"/>
      <name val="Cambria"/>
      <family val="1"/>
    </font>
    <font>
      <sz val="11"/>
      <color rgb="FF3F3F76"/>
      <name val="Cambria"/>
      <family val="1"/>
    </font>
    <font>
      <b/>
      <sz val="11"/>
      <color theme="3"/>
      <name val="Calibri"/>
      <family val="2"/>
    </font>
    <font>
      <i/>
      <sz val="11"/>
      <name val="Cambria"/>
      <family val="1"/>
    </font>
  </fonts>
  <fills count="7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2D050"/>
        <bgColor indexed="64"/>
      </patternFill>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bgColor indexed="64"/>
      </patternFill>
    </fill>
    <fill>
      <patternFill patternType="solid">
        <fgColor rgb="FFD9D9D9"/>
        <bgColor indexed="64"/>
      </patternFill>
    </fill>
    <fill>
      <patternFill patternType="lightGray">
        <bgColor theme="0"/>
      </patternFill>
    </fill>
    <fill>
      <patternFill patternType="solid">
        <fgColor theme="0" tint="-0.249977111117893"/>
        <bgColor indexed="64"/>
      </patternFill>
    </fill>
    <fill>
      <patternFill patternType="solid">
        <fgColor theme="5" tint="0.79998168889431442"/>
        <bgColor indexed="64"/>
      </patternFill>
    </fill>
    <fill>
      <patternFill patternType="solid">
        <fgColor indexed="26"/>
        <bgColor indexed="64"/>
      </patternFill>
    </fill>
    <fill>
      <patternFill patternType="solid">
        <fgColor theme="0" tint="-0.14999847407452621"/>
        <bgColor indexed="64"/>
      </patternFill>
    </fill>
    <fill>
      <patternFill patternType="solid">
        <fgColor rgb="FF00808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FF"/>
      </patternFill>
    </fill>
    <fill>
      <patternFill patternType="solid">
        <fgColor rgb="FFF0F5FF"/>
      </patternFill>
    </fill>
    <fill>
      <patternFill patternType="gray0625">
        <bgColor theme="0" tint="-4.9989318521683403E-2"/>
      </patternFill>
    </fill>
    <fill>
      <patternFill patternType="solid">
        <fgColor theme="9" tint="0.79998168889431442"/>
        <bgColor indexed="64"/>
      </patternFill>
    </fill>
    <fill>
      <patternFill patternType="solid">
        <fgColor rgb="FFBFF9B5"/>
        <bgColor indexed="64"/>
      </patternFill>
    </fill>
    <fill>
      <patternFill patternType="solid">
        <fgColor rgb="FFFFFFCC"/>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00B180"/>
        <bgColor indexed="64"/>
      </patternFill>
    </fill>
    <fill>
      <patternFill patternType="solid">
        <fgColor rgb="FFFFFFFF"/>
        <bgColor indexed="64"/>
      </patternFill>
    </fill>
    <fill>
      <patternFill patternType="solid">
        <fgColor rgb="FFE1FFF6"/>
        <bgColor indexed="64"/>
      </patternFill>
    </fill>
    <fill>
      <patternFill patternType="solid">
        <fgColor rgb="FFD9E1F2"/>
        <bgColor rgb="FF000000"/>
      </patternFill>
    </fill>
    <fill>
      <patternFill patternType="lightGray"/>
    </fill>
  </fills>
  <borders count="13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thin">
        <color auto="1"/>
      </top>
      <bottom style="medium">
        <color auto="1"/>
      </bottom>
      <diagonal/>
    </border>
    <border>
      <left/>
      <right style="medium">
        <color auto="1"/>
      </right>
      <top/>
      <bottom style="medium">
        <color auto="1"/>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53D5F"/>
      </left>
      <right style="thin">
        <color rgb="FF053D5F"/>
      </right>
      <top style="thin">
        <color rgb="FF053D5F"/>
      </top>
      <bottom style="thin">
        <color rgb="FF053D5F"/>
      </bottom>
      <diagonal/>
    </border>
    <border>
      <left style="thin">
        <color rgb="FF053D5F"/>
      </left>
      <right style="thin">
        <color rgb="FF053D5F"/>
      </right>
      <top style="thin">
        <color rgb="FF053D5F"/>
      </top>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rgb="FF053D5F"/>
      </left>
      <right style="medium">
        <color indexed="64"/>
      </right>
      <top style="thin">
        <color rgb="FF053D5F"/>
      </top>
      <bottom style="thin">
        <color rgb="FF053D5F"/>
      </bottom>
      <diagonal/>
    </border>
    <border>
      <left style="thin">
        <color rgb="FF053D5F"/>
      </left>
      <right style="thin">
        <color indexed="64"/>
      </right>
      <top style="thin">
        <color indexed="64"/>
      </top>
      <bottom style="thin">
        <color rgb="FF053D5F"/>
      </bottom>
      <diagonal/>
    </border>
    <border>
      <left style="thin">
        <color indexed="64"/>
      </left>
      <right style="thin">
        <color rgb="FF053D5F"/>
      </right>
      <top style="thin">
        <color rgb="FF053D5F"/>
      </top>
      <bottom style="thin">
        <color indexed="64"/>
      </bottom>
      <diagonal/>
    </border>
    <border>
      <left style="thin">
        <color rgb="FF053D5F"/>
      </left>
      <right style="thin">
        <color indexed="64"/>
      </right>
      <top style="thin">
        <color rgb="FF053D5F"/>
      </top>
      <bottom style="thin">
        <color indexed="64"/>
      </bottom>
      <diagonal/>
    </border>
    <border>
      <left style="thin">
        <color rgb="FF053D5F"/>
      </left>
      <right style="thin">
        <color rgb="FF053D5F"/>
      </right>
      <top/>
      <bottom/>
      <diagonal/>
    </border>
    <border>
      <left style="thin">
        <color rgb="FF053D5F"/>
      </left>
      <right/>
      <top style="thin">
        <color rgb="FF053D5F"/>
      </top>
      <bottom/>
      <diagonal/>
    </border>
    <border>
      <left style="thin">
        <color rgb="FF053D5F"/>
      </left>
      <right/>
      <top/>
      <bottom/>
      <diagonal/>
    </border>
    <border>
      <left/>
      <right style="thin">
        <color rgb="FF053D5F"/>
      </right>
      <top style="thin">
        <color indexed="64"/>
      </top>
      <bottom style="thin">
        <color rgb="FF053D5F"/>
      </bottom>
      <diagonal/>
    </border>
    <border>
      <left style="thin">
        <color rgb="FF053D5F"/>
      </left>
      <right style="medium">
        <color indexed="64"/>
      </right>
      <top style="thin">
        <color indexed="64"/>
      </top>
      <bottom style="thin">
        <color rgb="FF053D5F"/>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style="thin">
        <color auto="1"/>
      </top>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indexed="64"/>
      </left>
      <right/>
      <top/>
      <bottom style="thin">
        <color indexed="64"/>
      </bottom>
      <diagonal/>
    </border>
    <border>
      <left style="medium">
        <color theme="0"/>
      </left>
      <right style="medium">
        <color theme="0"/>
      </right>
      <top style="medium">
        <color theme="0"/>
      </top>
      <bottom style="medium">
        <color theme="0"/>
      </bottom>
      <diagonal/>
    </border>
    <border>
      <left/>
      <right/>
      <top/>
      <bottom style="thick">
        <color theme="4"/>
      </bottom>
      <diagonal/>
    </border>
    <border>
      <left/>
      <right/>
      <top/>
      <bottom style="thick">
        <color theme="4" tint="0.499984740745262"/>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style="thin">
        <color rgb="FFB2B2B2"/>
      </right>
      <top/>
      <bottom/>
      <diagonal/>
    </border>
    <border>
      <left style="thin">
        <color rgb="FFB2B2B2"/>
      </left>
      <right style="thin">
        <color rgb="FFB2B2B2"/>
      </right>
      <top style="thin">
        <color rgb="FFB2B2B2"/>
      </top>
      <bottom/>
      <diagonal/>
    </border>
    <border>
      <left style="thin">
        <color rgb="FFB2B2B2"/>
      </left>
      <right style="thin">
        <color rgb="FFB2B2B2"/>
      </right>
      <top/>
      <bottom style="thin">
        <color rgb="FFB2B2B2"/>
      </bottom>
      <diagonal/>
    </border>
    <border>
      <left style="thin">
        <color rgb="FFB2B2B2"/>
      </left>
      <right style="thin">
        <color rgb="FFB2B2B2"/>
      </right>
      <top/>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DADCDD"/>
      </left>
      <right style="thin">
        <color rgb="FFDADCDD"/>
      </right>
      <top style="thin">
        <color rgb="FFDADCDD"/>
      </top>
      <bottom style="thin">
        <color rgb="FFDADCDD"/>
      </bottom>
      <diagonal/>
    </border>
    <border>
      <left style="thin">
        <color rgb="FFB2B2B2"/>
      </left>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double">
        <color rgb="FF548235"/>
      </left>
      <right style="double">
        <color rgb="FF548235"/>
      </right>
      <top style="double">
        <color rgb="FF548235"/>
      </top>
      <bottom style="double">
        <color rgb="FF548235"/>
      </bottom>
      <diagonal/>
    </border>
    <border>
      <left style="thin">
        <color rgb="FF548235"/>
      </left>
      <right style="thin">
        <color rgb="FF548235"/>
      </right>
      <top style="thin">
        <color rgb="FF548235"/>
      </top>
      <bottom style="thin">
        <color rgb="FF548235"/>
      </bottom>
      <diagonal/>
    </border>
    <border>
      <left/>
      <right/>
      <top/>
      <bottom style="thin">
        <color rgb="FF548235"/>
      </bottom>
      <diagonal/>
    </border>
    <border>
      <left/>
      <right style="thin">
        <color rgb="FF548235"/>
      </right>
      <top/>
      <bottom style="thin">
        <color rgb="FF548235"/>
      </bottom>
      <diagonal/>
    </border>
    <border>
      <left style="thin">
        <color rgb="FF548235"/>
      </left>
      <right/>
      <top style="thin">
        <color rgb="FF548235"/>
      </top>
      <bottom style="thin">
        <color rgb="FF548235"/>
      </bottom>
      <diagonal/>
    </border>
    <border>
      <left/>
      <right/>
      <top style="thin">
        <color rgb="FF548235"/>
      </top>
      <bottom style="thin">
        <color rgb="FF548235"/>
      </bottom>
      <diagonal/>
    </border>
    <border>
      <left/>
      <right style="thin">
        <color rgb="FF548235"/>
      </right>
      <top style="thin">
        <color rgb="FF548235"/>
      </top>
      <bottom style="thin">
        <color rgb="FF548235"/>
      </bottom>
      <diagonal/>
    </border>
    <border>
      <left style="thin">
        <color rgb="FF548235"/>
      </left>
      <right/>
      <top style="thin">
        <color rgb="FF548235"/>
      </top>
      <bottom/>
      <diagonal/>
    </border>
    <border>
      <left/>
      <right/>
      <top style="thin">
        <color rgb="FF548235"/>
      </top>
      <bottom/>
      <diagonal/>
    </border>
    <border>
      <left/>
      <right style="thin">
        <color rgb="FF548235"/>
      </right>
      <top style="thin">
        <color rgb="FF548235"/>
      </top>
      <bottom/>
      <diagonal/>
    </border>
    <border>
      <left style="thin">
        <color rgb="FF548235"/>
      </left>
      <right/>
      <top/>
      <bottom style="thin">
        <color rgb="FF548235"/>
      </bottom>
      <diagonal/>
    </border>
    <border>
      <left style="double">
        <color auto="1"/>
      </left>
      <right style="double">
        <color auto="1"/>
      </right>
      <top style="double">
        <color auto="1"/>
      </top>
      <bottom style="double">
        <color auto="1"/>
      </bottom>
      <diagonal/>
    </border>
    <border>
      <left style="thin">
        <color rgb="FF548235"/>
      </left>
      <right style="thin">
        <color rgb="FF548235"/>
      </right>
      <top style="thin">
        <color rgb="FF548235"/>
      </top>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diagonal/>
    </border>
    <border>
      <left/>
      <right style="thin">
        <color rgb="FF548235"/>
      </right>
      <top/>
      <bottom/>
      <diagonal/>
    </border>
    <border>
      <left style="thin">
        <color rgb="FF548235"/>
      </left>
      <right style="thin">
        <color rgb="FF548235"/>
      </right>
      <top style="thin">
        <color rgb="FF548235"/>
      </top>
      <bottom style="thin">
        <color rgb="FFB2B2B2"/>
      </bottom>
      <diagonal/>
    </border>
    <border>
      <left style="thick">
        <color rgb="FF00B180"/>
      </left>
      <right/>
      <top style="thick">
        <color rgb="FF00B180"/>
      </top>
      <bottom style="thick">
        <color rgb="FF00B180"/>
      </bottom>
      <diagonal/>
    </border>
    <border>
      <left/>
      <right/>
      <top style="thick">
        <color rgb="FF00B180"/>
      </top>
      <bottom style="thick">
        <color rgb="FF00B180"/>
      </bottom>
      <diagonal/>
    </border>
    <border>
      <left/>
      <right style="thin">
        <color rgb="FFB2B2B2"/>
      </right>
      <top style="thick">
        <color rgb="FF00B180"/>
      </top>
      <bottom style="thick">
        <color rgb="FF00B180"/>
      </bottom>
      <diagonal/>
    </border>
    <border>
      <left style="thin">
        <color rgb="FFB2B2B2"/>
      </left>
      <right style="thick">
        <color rgb="FF00B180"/>
      </right>
      <top style="thick">
        <color rgb="FF00B180"/>
      </top>
      <bottom style="thick">
        <color rgb="FF00B180"/>
      </bottom>
      <diagonal/>
    </border>
    <border>
      <left/>
      <right style="thick">
        <color rgb="FF00B180"/>
      </right>
      <top style="thick">
        <color rgb="FF00B180"/>
      </top>
      <bottom style="thick">
        <color rgb="FF00B180"/>
      </bottom>
      <diagonal/>
    </border>
    <border>
      <left style="thin">
        <color rgb="FFB2B2B2"/>
      </left>
      <right style="thin">
        <color rgb="FFB2B2B2"/>
      </right>
      <top style="thick">
        <color rgb="FF00B180"/>
      </top>
      <bottom style="thick">
        <color rgb="FF00B180"/>
      </bottom>
      <diagonal/>
    </border>
    <border>
      <left style="thick">
        <color rgb="FF00B180"/>
      </left>
      <right/>
      <top style="thick">
        <color rgb="FF00B180"/>
      </top>
      <bottom/>
      <diagonal/>
    </border>
    <border>
      <left/>
      <right/>
      <top style="thick">
        <color rgb="FF00B180"/>
      </top>
      <bottom/>
      <diagonal/>
    </border>
    <border>
      <left/>
      <right style="thin">
        <color rgb="FFB2B2B2"/>
      </right>
      <top style="thick">
        <color rgb="FF00B180"/>
      </top>
      <bottom/>
      <diagonal/>
    </border>
    <border>
      <left style="thin">
        <color rgb="FFB2B2B2"/>
      </left>
      <right style="thin">
        <color rgb="FFB2B2B2"/>
      </right>
      <top style="thick">
        <color rgb="FF00B180"/>
      </top>
      <bottom/>
      <diagonal/>
    </border>
    <border>
      <left style="thin">
        <color rgb="FFB2B2B2"/>
      </left>
      <right style="thick">
        <color rgb="FF00B180"/>
      </right>
      <top style="thick">
        <color rgb="FF00B180"/>
      </top>
      <bottom/>
      <diagonal/>
    </border>
    <border>
      <left style="thick">
        <color rgb="FF00B180"/>
      </left>
      <right/>
      <top/>
      <bottom style="thick">
        <color rgb="FF00B180"/>
      </bottom>
      <diagonal/>
    </border>
    <border>
      <left/>
      <right/>
      <top/>
      <bottom style="thick">
        <color rgb="FF00B180"/>
      </bottom>
      <diagonal/>
    </border>
    <border>
      <left/>
      <right style="thin">
        <color rgb="FFB2B2B2"/>
      </right>
      <top/>
      <bottom style="thick">
        <color rgb="FF00B180"/>
      </bottom>
      <diagonal/>
    </border>
    <border>
      <left style="thin">
        <color rgb="FFB2B2B2"/>
      </left>
      <right style="thin">
        <color rgb="FFB2B2B2"/>
      </right>
      <top/>
      <bottom style="thick">
        <color rgb="FF00B180"/>
      </bottom>
      <diagonal/>
    </border>
    <border>
      <left style="thin">
        <color rgb="FFB2B2B2"/>
      </left>
      <right style="thick">
        <color rgb="FF00B180"/>
      </right>
      <top/>
      <bottom style="thick">
        <color rgb="FF00B180"/>
      </bottom>
      <diagonal/>
    </border>
    <border>
      <left style="thick">
        <color rgb="FF00B180"/>
      </left>
      <right style="thick">
        <color rgb="FF00B180"/>
      </right>
      <top style="thick">
        <color rgb="FF00B180"/>
      </top>
      <bottom style="thick">
        <color rgb="FF00B180"/>
      </bottom>
      <diagonal/>
    </border>
    <border>
      <left style="thin">
        <color rgb="FFB2B2B2"/>
      </left>
      <right/>
      <top style="thick">
        <color rgb="FF00B180"/>
      </top>
      <bottom style="thick">
        <color rgb="FF00B180"/>
      </bottom>
      <diagonal/>
    </border>
    <border>
      <left style="thick">
        <color rgb="FFB2B2B2"/>
      </left>
      <right style="thick">
        <color rgb="FFB2B2B2"/>
      </right>
      <top style="thick">
        <color rgb="FFB2B2B2"/>
      </top>
      <bottom style="thick">
        <color rgb="FFB2B2B2"/>
      </bottom>
      <diagonal/>
    </border>
    <border>
      <left/>
      <right style="thick">
        <color rgb="FFB2B2B2"/>
      </right>
      <top/>
      <bottom/>
      <diagonal/>
    </border>
  </borders>
  <cellStyleXfs count="136">
    <xf numFmtId="0" fontId="0" fillId="0" borderId="0"/>
    <xf numFmtId="0" fontId="2" fillId="0" borderId="0" applyNumberForma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2" applyNumberFormat="0" applyAlignment="0" applyProtection="0"/>
    <xf numFmtId="0" fontId="8"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9" fillId="0" borderId="0"/>
    <xf numFmtId="166" fontId="9" fillId="0" borderId="0" applyFont="0" applyFill="0" applyBorder="0" applyAlignment="0" applyProtection="0"/>
    <xf numFmtId="0" fontId="22" fillId="0" borderId="0" applyNumberFormat="0" applyFill="0" applyBorder="0" applyAlignment="0" applyProtection="0">
      <alignment vertical="top"/>
      <protection locked="0"/>
    </xf>
    <xf numFmtId="0" fontId="25" fillId="0" borderId="0"/>
    <xf numFmtId="0" fontId="11" fillId="38" borderId="17" applyNumberFormat="0" applyAlignment="0" applyProtection="0"/>
    <xf numFmtId="0" fontId="29" fillId="39" borderId="18" applyNumberFormat="0" applyProtection="0">
      <alignment vertical="center"/>
    </xf>
    <xf numFmtId="165" fontId="25"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7" fillId="0" borderId="0" applyNumberFormat="0" applyFill="0" applyBorder="0" applyAlignment="0" applyProtection="0">
      <alignment vertical="top"/>
      <protection locked="0"/>
    </xf>
    <xf numFmtId="0" fontId="11" fillId="40" borderId="1" applyNumberFormat="0" applyBorder="0" applyAlignment="0" applyProtection="0"/>
    <xf numFmtId="0" fontId="11" fillId="41" borderId="0">
      <alignment vertical="center"/>
    </xf>
    <xf numFmtId="0" fontId="11" fillId="37" borderId="19" applyNumberFormat="0" applyAlignment="0" applyProtection="0"/>
    <xf numFmtId="0" fontId="25" fillId="6" borderId="3" applyNumberFormat="0" applyFont="0" applyAlignment="0" applyProtection="0"/>
    <xf numFmtId="0" fontId="32" fillId="42" borderId="20" applyNumberFormat="0" applyAlignment="0" applyProtection="0"/>
    <xf numFmtId="0" fontId="47" fillId="43" borderId="3" applyNumberFormat="0" applyProtection="0">
      <alignment vertical="center"/>
    </xf>
    <xf numFmtId="0" fontId="32" fillId="44" borderId="0" applyNumberFormat="0" applyBorder="0" applyAlignment="0" applyProtection="0"/>
    <xf numFmtId="0" fontId="11" fillId="0" borderId="0"/>
    <xf numFmtId="165" fontId="11" fillId="0" borderId="0" applyFont="0" applyFill="0" applyBorder="0" applyAlignment="0" applyProtection="0"/>
    <xf numFmtId="38" fontId="44" fillId="35" borderId="0" applyNumberFormat="0" applyBorder="0" applyAlignment="0" applyProtection="0"/>
    <xf numFmtId="10" fontId="44" fillId="50" borderId="60" applyNumberFormat="0" applyBorder="0" applyAlignment="0" applyProtection="0"/>
    <xf numFmtId="186" fontId="45" fillId="0" borderId="0"/>
    <xf numFmtId="9" fontId="11" fillId="0" borderId="0" applyFont="0" applyFill="0" applyBorder="0" applyAlignment="0" applyProtection="0"/>
    <xf numFmtId="10"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48" fillId="0" borderId="0" applyNumberFormat="0" applyFill="0" applyBorder="0" applyAlignment="0" applyProtection="0"/>
    <xf numFmtId="0" fontId="25" fillId="0" borderId="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25" fillId="0" borderId="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25" fillId="0" borderId="0"/>
    <xf numFmtId="0" fontId="25" fillId="0" borderId="0"/>
    <xf numFmtId="0" fontId="11" fillId="40" borderId="1" applyNumberFormat="0" applyBorder="0" applyAlignment="0" applyProtection="0"/>
    <xf numFmtId="0" fontId="11" fillId="40" borderId="1" applyNumberFormat="0" applyBorder="0" applyAlignment="0" applyProtection="0"/>
    <xf numFmtId="0" fontId="25" fillId="0" borderId="0"/>
    <xf numFmtId="0" fontId="11" fillId="40" borderId="1" applyNumberFormat="0" applyBorder="0" applyAlignment="0" applyProtection="0"/>
    <xf numFmtId="0" fontId="25" fillId="0" borderId="0"/>
    <xf numFmtId="0" fontId="11" fillId="40" borderId="1" applyNumberFormat="0" applyBorder="0" applyAlignment="0" applyProtection="0"/>
    <xf numFmtId="0" fontId="25" fillId="0" borderId="0"/>
    <xf numFmtId="0" fontId="11" fillId="40" borderId="1" applyNumberFormat="0" applyBorder="0" applyAlignment="0" applyProtection="0"/>
    <xf numFmtId="0" fontId="11" fillId="40" borderId="1" applyNumberFormat="0" applyBorder="0" applyAlignment="0" applyProtection="0"/>
    <xf numFmtId="0" fontId="25" fillId="0" borderId="0"/>
    <xf numFmtId="0" fontId="25" fillId="0" borderId="0"/>
    <xf numFmtId="0" fontId="11" fillId="40" borderId="1" applyNumberFormat="0" applyBorder="0" applyAlignment="0" applyProtection="0"/>
    <xf numFmtId="0" fontId="25" fillId="0" borderId="0"/>
    <xf numFmtId="0" fontId="25" fillId="0" borderId="0"/>
    <xf numFmtId="0" fontId="25" fillId="0" borderId="0"/>
    <xf numFmtId="0" fontId="25" fillId="0" borderId="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11" fillId="40" borderId="1" applyNumberFormat="0" applyBorder="0" applyAlignment="0" applyProtection="0"/>
    <xf numFmtId="0" fontId="25" fillId="0" borderId="0"/>
    <xf numFmtId="0" fontId="11" fillId="40" borderId="1" applyNumberFormat="0" applyBorder="0" applyAlignment="0" applyProtection="0"/>
    <xf numFmtId="0" fontId="11" fillId="40" borderId="1"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52" borderId="82">
      <alignment horizontal="left" vertical="top" wrapText="1" indent="1"/>
    </xf>
    <xf numFmtId="0" fontId="25" fillId="0" borderId="0"/>
    <xf numFmtId="0" fontId="11" fillId="40" borderId="1" applyNumberFormat="0" applyBorder="0" applyAlignment="0" applyProtection="0"/>
    <xf numFmtId="0" fontId="11" fillId="0" borderId="0"/>
    <xf numFmtId="9" fontId="11" fillId="0" borderId="0" applyFont="0" applyFill="0" applyBorder="0" applyAlignment="0" applyProtection="0"/>
    <xf numFmtId="0" fontId="50" fillId="0" borderId="83" applyNumberFormat="0" applyFill="0" applyProtection="0">
      <alignment vertical="center"/>
    </xf>
    <xf numFmtId="0" fontId="51" fillId="0" borderId="84" applyNumberFormat="0" applyFill="0" applyBorder="0" applyAlignment="0" applyProtection="0"/>
    <xf numFmtId="0" fontId="52" fillId="54" borderId="1" applyNumberFormat="0" applyAlignment="0" applyProtection="0"/>
    <xf numFmtId="0" fontId="1" fillId="6" borderId="3" applyNumberFormat="0" applyFont="0" applyAlignment="0" applyProtection="0"/>
    <xf numFmtId="0" fontId="51" fillId="0" borderId="0">
      <alignment vertical="center"/>
    </xf>
    <xf numFmtId="0" fontId="53" fillId="58" borderId="95"/>
    <xf numFmtId="0" fontId="53" fillId="59" borderId="95"/>
    <xf numFmtId="165" fontId="9" fillId="0" borderId="0" applyFont="0" applyFill="0" applyBorder="0" applyAlignment="0" applyProtection="0"/>
    <xf numFmtId="165" fontId="25" fillId="0" borderId="0" applyFont="0" applyFill="0" applyBorder="0" applyAlignment="0" applyProtection="0"/>
    <xf numFmtId="165" fontId="11" fillId="0" borderId="0" applyFont="0" applyFill="0" applyBorder="0" applyAlignment="0" applyProtection="0"/>
    <xf numFmtId="0" fontId="49" fillId="0" borderId="0"/>
    <xf numFmtId="9" fontId="1" fillId="0" borderId="0" applyFont="0" applyFill="0" applyBorder="0" applyAlignment="0" applyProtection="0"/>
  </cellStyleXfs>
  <cellXfs count="1061">
    <xf numFmtId="0" fontId="0" fillId="0" borderId="0" xfId="0"/>
    <xf numFmtId="0" fontId="11" fillId="33" borderId="0" xfId="30" applyFont="1" applyFill="1" applyAlignment="1">
      <alignment horizontal="center"/>
    </xf>
    <xf numFmtId="0" fontId="11" fillId="33" borderId="0" xfId="30" applyFont="1" applyFill="1"/>
    <xf numFmtId="0" fontId="12" fillId="33" borderId="0" xfId="30" applyFont="1" applyFill="1"/>
    <xf numFmtId="0" fontId="13" fillId="34" borderId="4" xfId="30" applyFont="1" applyFill="1" applyBorder="1" applyAlignment="1">
      <alignment horizontal="center" vertical="center"/>
    </xf>
    <xf numFmtId="0" fontId="13" fillId="34" borderId="5" xfId="30" applyFont="1" applyFill="1" applyBorder="1" applyAlignment="1">
      <alignment horizontal="center" vertical="center" wrapText="1"/>
    </xf>
    <xf numFmtId="0" fontId="13" fillId="34" borderId="6" xfId="30" applyFont="1" applyFill="1" applyBorder="1" applyAlignment="1">
      <alignment horizontal="center" vertical="center" wrapText="1"/>
    </xf>
    <xf numFmtId="0" fontId="15" fillId="33" borderId="0" xfId="30" applyFont="1" applyFill="1"/>
    <xf numFmtId="0" fontId="12" fillId="33" borderId="0" xfId="30" applyFont="1" applyFill="1" applyAlignment="1">
      <alignment horizontal="center" vertical="center" wrapText="1"/>
    </xf>
    <xf numFmtId="0" fontId="13" fillId="35" borderId="7" xfId="30" applyFont="1" applyFill="1" applyBorder="1" applyAlignment="1">
      <alignment horizontal="center" vertical="center" wrapText="1"/>
    </xf>
    <xf numFmtId="0" fontId="16" fillId="36" borderId="8" xfId="30" applyFont="1" applyFill="1" applyBorder="1" applyAlignment="1">
      <alignment horizontal="center" vertical="top" wrapText="1"/>
    </xf>
    <xf numFmtId="0" fontId="12" fillId="33" borderId="0" xfId="30" applyFont="1" applyFill="1" applyAlignment="1">
      <alignment horizontal="center"/>
    </xf>
    <xf numFmtId="0" fontId="13" fillId="35" borderId="0" xfId="30" applyFont="1" applyFill="1" applyAlignment="1">
      <alignment horizontal="center" vertical="center" wrapText="1"/>
    </xf>
    <xf numFmtId="0" fontId="13" fillId="35" borderId="9" xfId="30" applyFont="1" applyFill="1" applyBorder="1" applyAlignment="1">
      <alignment horizontal="center" vertical="center" wrapText="1"/>
    </xf>
    <xf numFmtId="0" fontId="18" fillId="33" borderId="0" xfId="30" applyFont="1" applyFill="1" applyAlignment="1">
      <alignment horizontal="center"/>
    </xf>
    <xf numFmtId="0" fontId="11" fillId="33" borderId="10" xfId="30" applyFont="1" applyFill="1" applyBorder="1"/>
    <xf numFmtId="169" fontId="11" fillId="0" borderId="8" xfId="31" applyNumberFormat="1" applyFont="1" applyBorder="1"/>
    <xf numFmtId="171" fontId="11" fillId="33" borderId="0" xfId="30" applyNumberFormat="1" applyFont="1" applyFill="1"/>
    <xf numFmtId="0" fontId="11" fillId="0" borderId="10" xfId="30" applyFont="1" applyBorder="1"/>
    <xf numFmtId="172" fontId="11" fillId="33" borderId="0" xfId="30" applyNumberFormat="1" applyFont="1" applyFill="1"/>
    <xf numFmtId="0" fontId="13" fillId="34" borderId="11" xfId="30" applyFont="1" applyFill="1" applyBorder="1" applyAlignment="1">
      <alignment horizontal="center"/>
    </xf>
    <xf numFmtId="171" fontId="13" fillId="35" borderId="0" xfId="31" applyNumberFormat="1" applyFont="1" applyFill="1"/>
    <xf numFmtId="169" fontId="13" fillId="35" borderId="0" xfId="31" applyNumberFormat="1" applyFont="1" applyFill="1"/>
    <xf numFmtId="170" fontId="13" fillId="35" borderId="0" xfId="31" applyNumberFormat="1" applyFont="1" applyFill="1"/>
    <xf numFmtId="169" fontId="13" fillId="35" borderId="9" xfId="31" applyNumberFormat="1" applyFont="1" applyFill="1" applyBorder="1"/>
    <xf numFmtId="171" fontId="19" fillId="33" borderId="0" xfId="30" applyNumberFormat="1" applyFont="1" applyFill="1"/>
    <xf numFmtId="169" fontId="13" fillId="35" borderId="0" xfId="30" applyNumberFormat="1" applyFont="1" applyFill="1"/>
    <xf numFmtId="169" fontId="13" fillId="35" borderId="9" xfId="30" applyNumberFormat="1" applyFont="1" applyFill="1" applyBorder="1"/>
    <xf numFmtId="0" fontId="16" fillId="36" borderId="8" xfId="30" applyFont="1" applyFill="1" applyBorder="1" applyAlignment="1">
      <alignment horizontal="center" vertical="center" wrapText="1"/>
    </xf>
    <xf numFmtId="171" fontId="20" fillId="35" borderId="0" xfId="31" applyNumberFormat="1" applyFont="1" applyFill="1"/>
    <xf numFmtId="171" fontId="21" fillId="35" borderId="0" xfId="31" applyNumberFormat="1" applyFont="1" applyFill="1"/>
    <xf numFmtId="170" fontId="11" fillId="35" borderId="0" xfId="31" applyNumberFormat="1" applyFont="1" applyFill="1"/>
    <xf numFmtId="0" fontId="11" fillId="35" borderId="0" xfId="30" applyFont="1" applyFill="1"/>
    <xf numFmtId="0" fontId="11" fillId="35" borderId="9" xfId="30" applyFont="1" applyFill="1" applyBorder="1"/>
    <xf numFmtId="174" fontId="11" fillId="0" borderId="8" xfId="31" applyNumberFormat="1" applyFont="1" applyBorder="1"/>
    <xf numFmtId="166" fontId="13" fillId="34" borderId="11" xfId="31" applyFont="1" applyFill="1" applyBorder="1" applyAlignment="1">
      <alignment horizontal="center"/>
    </xf>
    <xf numFmtId="173" fontId="11" fillId="35" borderId="0" xfId="31" applyNumberFormat="1" applyFont="1" applyFill="1"/>
    <xf numFmtId="174" fontId="13" fillId="35" borderId="0" xfId="31" applyNumberFormat="1" applyFont="1" applyFill="1"/>
    <xf numFmtId="173" fontId="13" fillId="35" borderId="0" xfId="31" applyNumberFormat="1" applyFont="1" applyFill="1"/>
    <xf numFmtId="173" fontId="13" fillId="35" borderId="9" xfId="31" applyNumberFormat="1" applyFont="1" applyFill="1" applyBorder="1"/>
    <xf numFmtId="173" fontId="11" fillId="0" borderId="8" xfId="31" applyNumberFormat="1" applyFont="1" applyBorder="1"/>
    <xf numFmtId="0" fontId="19" fillId="33" borderId="0" xfId="30" applyFont="1" applyFill="1"/>
    <xf numFmtId="171" fontId="11" fillId="35" borderId="0" xfId="31" applyNumberFormat="1" applyFont="1" applyFill="1"/>
    <xf numFmtId="0" fontId="11" fillId="0" borderId="10" xfId="30" applyFont="1" applyBorder="1" applyAlignment="1">
      <alignment vertical="center"/>
    </xf>
    <xf numFmtId="0" fontId="12" fillId="33" borderId="0" xfId="30" applyFont="1" applyFill="1" applyAlignment="1">
      <alignment horizontal="center" vertical="center"/>
    </xf>
    <xf numFmtId="0" fontId="11" fillId="35" borderId="0" xfId="30" applyFont="1" applyFill="1" applyAlignment="1">
      <alignment vertical="center"/>
    </xf>
    <xf numFmtId="0" fontId="11" fillId="35" borderId="9" xfId="30" applyFont="1" applyFill="1" applyBorder="1" applyAlignment="1">
      <alignment vertical="center"/>
    </xf>
    <xf numFmtId="166" fontId="11" fillId="0" borderId="8" xfId="31" applyFont="1" applyBorder="1"/>
    <xf numFmtId="0" fontId="11" fillId="37" borderId="10" xfId="30" applyFont="1" applyFill="1" applyBorder="1"/>
    <xf numFmtId="166" fontId="11" fillId="37" borderId="8" xfId="31" applyFont="1" applyFill="1" applyBorder="1"/>
    <xf numFmtId="0" fontId="23" fillId="33" borderId="0" xfId="32" applyFont="1" applyFill="1" applyAlignment="1" applyProtection="1"/>
    <xf numFmtId="166" fontId="11" fillId="35" borderId="0" xfId="30" applyNumberFormat="1" applyFont="1" applyFill="1" applyAlignment="1">
      <alignment vertical="center"/>
    </xf>
    <xf numFmtId="166" fontId="20" fillId="35" borderId="0" xfId="31" applyFont="1" applyFill="1" applyAlignment="1">
      <alignment vertical="center"/>
    </xf>
    <xf numFmtId="166" fontId="20" fillId="35" borderId="9" xfId="31" applyFont="1" applyFill="1" applyBorder="1" applyAlignment="1">
      <alignment vertical="center"/>
    </xf>
    <xf numFmtId="0" fontId="11" fillId="0" borderId="12" xfId="30" applyFont="1" applyBorder="1"/>
    <xf numFmtId="166" fontId="20" fillId="35" borderId="13" xfId="31" applyFont="1" applyFill="1" applyBorder="1" applyAlignment="1">
      <alignment vertical="center"/>
    </xf>
    <xf numFmtId="170" fontId="11" fillId="0" borderId="14" xfId="31" applyNumberFormat="1" applyFont="1" applyBorder="1"/>
    <xf numFmtId="166" fontId="11" fillId="0" borderId="14" xfId="31" applyFont="1" applyBorder="1"/>
    <xf numFmtId="166" fontId="20" fillId="35" borderId="15" xfId="31" applyFont="1" applyFill="1" applyBorder="1" applyAlignment="1">
      <alignment vertical="center"/>
    </xf>
    <xf numFmtId="0" fontId="16" fillId="33" borderId="0" xfId="30" applyFont="1" applyFill="1" applyAlignment="1">
      <alignment vertical="center"/>
    </xf>
    <xf numFmtId="0" fontId="11" fillId="33" borderId="0" xfId="30" applyFont="1" applyFill="1" applyAlignment="1">
      <alignment vertical="center"/>
    </xf>
    <xf numFmtId="166" fontId="11" fillId="33" borderId="0" xfId="30" applyNumberFormat="1" applyFont="1" applyFill="1" applyAlignment="1">
      <alignment vertical="center"/>
    </xf>
    <xf numFmtId="0" fontId="24" fillId="33" borderId="0" xfId="32" applyFont="1" applyFill="1" applyAlignment="1" applyProtection="1"/>
    <xf numFmtId="166" fontId="11" fillId="45" borderId="0" xfId="31" applyFont="1" applyFill="1"/>
    <xf numFmtId="11" fontId="11" fillId="45" borderId="0" xfId="30" applyNumberFormat="1" applyFont="1" applyFill="1"/>
    <xf numFmtId="0" fontId="11" fillId="33" borderId="48" xfId="30" applyFont="1" applyFill="1" applyBorder="1" applyAlignment="1">
      <alignment vertical="center"/>
    </xf>
    <xf numFmtId="166" fontId="11" fillId="0" borderId="49" xfId="31" applyFont="1" applyBorder="1" applyAlignment="1">
      <alignment vertical="center"/>
    </xf>
    <xf numFmtId="0" fontId="11" fillId="33" borderId="50" xfId="30" applyFont="1" applyFill="1" applyBorder="1" applyAlignment="1">
      <alignment horizontal="center"/>
    </xf>
    <xf numFmtId="0" fontId="11" fillId="45" borderId="0" xfId="30" applyFont="1" applyFill="1"/>
    <xf numFmtId="0" fontId="11" fillId="33" borderId="10" xfId="30" applyFont="1" applyFill="1" applyBorder="1" applyAlignment="1">
      <alignment vertical="center"/>
    </xf>
    <xf numFmtId="0" fontId="11" fillId="0" borderId="8" xfId="30" applyFont="1" applyBorder="1" applyAlignment="1">
      <alignment horizontal="center"/>
    </xf>
    <xf numFmtId="0" fontId="20" fillId="33" borderId="0" xfId="30" applyFont="1" applyFill="1" applyAlignment="1">
      <alignment horizontal="center"/>
    </xf>
    <xf numFmtId="0" fontId="11" fillId="33" borderId="8" xfId="30" applyFont="1" applyFill="1" applyBorder="1" applyAlignment="1">
      <alignment horizontal="center"/>
    </xf>
    <xf numFmtId="166" fontId="23" fillId="45" borderId="0" xfId="32" applyNumberFormat="1" applyFont="1" applyFill="1" applyAlignment="1" applyProtection="1"/>
    <xf numFmtId="181" fontId="34" fillId="0" borderId="21" xfId="33" applyNumberFormat="1" applyFont="1" applyBorder="1" applyAlignment="1">
      <alignment horizontal="center"/>
    </xf>
    <xf numFmtId="0" fontId="34" fillId="47" borderId="21" xfId="33" applyFont="1" applyFill="1" applyBorder="1" applyAlignment="1">
      <alignment horizontal="center"/>
    </xf>
    <xf numFmtId="4" fontId="34" fillId="0" borderId="21" xfId="33" applyNumberFormat="1" applyFont="1" applyBorder="1" applyAlignment="1">
      <alignment horizontal="center"/>
    </xf>
    <xf numFmtId="0" fontId="34" fillId="46" borderId="22" xfId="33" applyFont="1" applyFill="1" applyBorder="1"/>
    <xf numFmtId="182" fontId="34" fillId="0" borderId="22" xfId="33" applyNumberFormat="1" applyFont="1" applyBorder="1" applyAlignment="1">
      <alignment horizontal="center"/>
    </xf>
    <xf numFmtId="4" fontId="34" fillId="0" borderId="23" xfId="33" applyNumberFormat="1" applyFont="1" applyBorder="1" applyAlignment="1">
      <alignment horizontal="center"/>
    </xf>
    <xf numFmtId="0" fontId="34" fillId="46" borderId="28" xfId="33" applyFont="1" applyFill="1" applyBorder="1"/>
    <xf numFmtId="4" fontId="34" fillId="0" borderId="29" xfId="33" applyNumberFormat="1" applyFont="1" applyBorder="1" applyAlignment="1">
      <alignment horizontal="center"/>
    </xf>
    <xf numFmtId="4" fontId="34" fillId="0" borderId="37" xfId="33" applyNumberFormat="1" applyFont="1" applyBorder="1" applyAlignment="1">
      <alignment horizontal="center"/>
    </xf>
    <xf numFmtId="0" fontId="34" fillId="46" borderId="35" xfId="33" applyFont="1" applyFill="1" applyBorder="1"/>
    <xf numFmtId="182" fontId="34" fillId="0" borderId="30" xfId="33" applyNumberFormat="1" applyFont="1" applyBorder="1" applyAlignment="1">
      <alignment horizontal="center"/>
    </xf>
    <xf numFmtId="0" fontId="34" fillId="46" borderId="38" xfId="33" applyFont="1" applyFill="1" applyBorder="1"/>
    <xf numFmtId="182" fontId="34" fillId="0" borderId="31" xfId="33" applyNumberFormat="1" applyFont="1" applyBorder="1" applyAlignment="1">
      <alignment horizontal="center"/>
    </xf>
    <xf numFmtId="182" fontId="34" fillId="0" borderId="39" xfId="33" applyNumberFormat="1" applyFont="1" applyBorder="1" applyAlignment="1">
      <alignment horizontal="center"/>
    </xf>
    <xf numFmtId="0" fontId="13" fillId="33" borderId="0" xfId="30" applyFont="1" applyFill="1"/>
    <xf numFmtId="0" fontId="13" fillId="48" borderId="47" xfId="30" applyFont="1" applyFill="1" applyBorder="1" applyAlignment="1">
      <alignment horizontal="center" vertical="top" wrapText="1"/>
    </xf>
    <xf numFmtId="0" fontId="13" fillId="48" borderId="46" xfId="30" applyFont="1" applyFill="1" applyBorder="1" applyAlignment="1">
      <alignment horizontal="center" vertical="top" wrapText="1"/>
    </xf>
    <xf numFmtId="0" fontId="13" fillId="48" borderId="45" xfId="30" applyFont="1" applyFill="1" applyBorder="1" applyAlignment="1">
      <alignment horizontal="center" vertical="top"/>
    </xf>
    <xf numFmtId="0" fontId="11" fillId="33" borderId="0" xfId="30" applyFont="1" applyFill="1" applyAlignment="1">
      <alignment horizontal="center" vertical="center"/>
    </xf>
    <xf numFmtId="0" fontId="34" fillId="0" borderId="21" xfId="33" applyFont="1" applyBorder="1" applyAlignment="1">
      <alignment horizontal="left" wrapText="1"/>
    </xf>
    <xf numFmtId="182" fontId="34" fillId="0" borderId="21" xfId="33" applyNumberFormat="1" applyFont="1" applyBorder="1" applyAlignment="1">
      <alignment horizontal="center"/>
    </xf>
    <xf numFmtId="0" fontId="34" fillId="45" borderId="0" xfId="33" applyFont="1" applyFill="1" applyAlignment="1">
      <alignment horizontal="center"/>
    </xf>
    <xf numFmtId="0" fontId="34" fillId="46" borderId="21" xfId="33" applyFont="1" applyFill="1" applyBorder="1" applyAlignment="1">
      <alignment horizontal="center"/>
    </xf>
    <xf numFmtId="0" fontId="34" fillId="47" borderId="22" xfId="33" applyFont="1" applyFill="1" applyBorder="1" applyAlignment="1">
      <alignment horizontal="center"/>
    </xf>
    <xf numFmtId="0" fontId="34" fillId="46" borderId="21" xfId="33" applyFont="1" applyFill="1" applyBorder="1" applyAlignment="1">
      <alignment horizontal="left"/>
    </xf>
    <xf numFmtId="182" fontId="34" fillId="0" borderId="21" xfId="33" applyNumberFormat="1" applyFont="1" applyBorder="1" applyAlignment="1">
      <alignment horizontal="center" vertical="center"/>
    </xf>
    <xf numFmtId="0" fontId="11" fillId="33" borderId="12" xfId="30" applyFont="1" applyFill="1" applyBorder="1" applyAlignment="1">
      <alignment vertical="center"/>
    </xf>
    <xf numFmtId="166" fontId="11" fillId="0" borderId="14" xfId="31" applyFont="1" applyBorder="1" applyAlignment="1">
      <alignment vertical="center"/>
    </xf>
    <xf numFmtId="0" fontId="11" fillId="33" borderId="16" xfId="30" applyFont="1" applyFill="1" applyBorder="1" applyAlignment="1">
      <alignment horizontal="center"/>
    </xf>
    <xf numFmtId="0" fontId="11" fillId="45" borderId="0" xfId="30" applyFont="1" applyFill="1" applyAlignment="1">
      <alignment vertical="center"/>
    </xf>
    <xf numFmtId="0" fontId="20" fillId="33" borderId="0" xfId="30" applyFont="1" applyFill="1" applyAlignment="1">
      <alignment wrapText="1"/>
    </xf>
    <xf numFmtId="0" fontId="20" fillId="33" borderId="0" xfId="30" applyFont="1" applyFill="1"/>
    <xf numFmtId="0" fontId="9" fillId="0" borderId="0" xfId="30"/>
    <xf numFmtId="0" fontId="20" fillId="0" borderId="0" xfId="30" applyFont="1"/>
    <xf numFmtId="0" fontId="13" fillId="35" borderId="45" xfId="30" applyFont="1" applyFill="1" applyBorder="1" applyAlignment="1">
      <alignment horizontal="center" vertical="center"/>
    </xf>
    <xf numFmtId="0" fontId="13" fillId="35" borderId="46" xfId="30" applyFont="1" applyFill="1" applyBorder="1" applyAlignment="1">
      <alignment horizontal="center" vertical="center"/>
    </xf>
    <xf numFmtId="0" fontId="13" fillId="35" borderId="46" xfId="30" applyFont="1" applyFill="1" applyBorder="1" applyAlignment="1">
      <alignment horizontal="center" vertical="center" wrapText="1"/>
    </xf>
    <xf numFmtId="0" fontId="13" fillId="35" borderId="47" xfId="30" applyFont="1" applyFill="1" applyBorder="1" applyAlignment="1">
      <alignment horizontal="center" vertical="center" wrapText="1"/>
    </xf>
    <xf numFmtId="183" fontId="11" fillId="33" borderId="0" xfId="30" applyNumberFormat="1" applyFont="1" applyFill="1"/>
    <xf numFmtId="0" fontId="11" fillId="33" borderId="51" xfId="30" applyFont="1" applyFill="1" applyBorder="1"/>
    <xf numFmtId="0" fontId="11" fillId="33" borderId="5" xfId="30" applyFont="1" applyFill="1" applyBorder="1" applyAlignment="1">
      <alignment horizontal="left"/>
    </xf>
    <xf numFmtId="183" fontId="11" fillId="0" borderId="5" xfId="31" applyNumberFormat="1" applyFont="1" applyBorder="1"/>
    <xf numFmtId="183" fontId="11" fillId="0" borderId="6" xfId="31" applyNumberFormat="1" applyFont="1" applyBorder="1"/>
    <xf numFmtId="0" fontId="11" fillId="33" borderId="7" xfId="30" applyFont="1" applyFill="1" applyBorder="1"/>
    <xf numFmtId="0" fontId="11" fillId="33" borderId="49" xfId="30" applyFont="1" applyFill="1" applyBorder="1" applyAlignment="1">
      <alignment horizontal="left"/>
    </xf>
    <xf numFmtId="183" fontId="11" fillId="0" borderId="49" xfId="31" applyNumberFormat="1" applyFont="1" applyBorder="1"/>
    <xf numFmtId="183" fontId="11" fillId="0" borderId="50" xfId="31" applyNumberFormat="1" applyFont="1" applyBorder="1"/>
    <xf numFmtId="183" fontId="11" fillId="0" borderId="8" xfId="31" applyNumberFormat="1" applyFont="1" applyBorder="1"/>
    <xf numFmtId="183" fontId="19" fillId="0" borderId="8" xfId="31" applyNumberFormat="1" applyFont="1" applyBorder="1"/>
    <xf numFmtId="0" fontId="11" fillId="33" borderId="52" xfId="30" applyFont="1" applyFill="1" applyBorder="1"/>
    <xf numFmtId="0" fontId="11" fillId="33" borderId="14" xfId="30" applyFont="1" applyFill="1" applyBorder="1" applyAlignment="1">
      <alignment horizontal="left"/>
    </xf>
    <xf numFmtId="183" fontId="11" fillId="0" borderId="14" xfId="31" applyNumberFormat="1" applyFont="1" applyBorder="1"/>
    <xf numFmtId="183" fontId="11" fillId="0" borderId="16" xfId="31" applyNumberFormat="1" applyFont="1" applyBorder="1"/>
    <xf numFmtId="183" fontId="11" fillId="33" borderId="5" xfId="31" applyNumberFormat="1" applyFont="1" applyFill="1" applyBorder="1" applyAlignment="1">
      <alignment horizontal="right"/>
    </xf>
    <xf numFmtId="183" fontId="11" fillId="33" borderId="6" xfId="31" applyNumberFormat="1" applyFont="1" applyFill="1" applyBorder="1" applyAlignment="1">
      <alignment horizontal="right"/>
    </xf>
    <xf numFmtId="183" fontId="11" fillId="33" borderId="14" xfId="31" applyNumberFormat="1" applyFont="1" applyFill="1" applyBorder="1" applyAlignment="1">
      <alignment horizontal="right"/>
    </xf>
    <xf numFmtId="183" fontId="11" fillId="33" borderId="16" xfId="31" applyNumberFormat="1" applyFont="1" applyFill="1" applyBorder="1" applyAlignment="1">
      <alignment horizontal="right"/>
    </xf>
    <xf numFmtId="0" fontId="13" fillId="35" borderId="55" xfId="30" applyFont="1" applyFill="1" applyBorder="1" applyAlignment="1">
      <alignment horizontal="center" vertical="center" wrapText="1"/>
    </xf>
    <xf numFmtId="183" fontId="11" fillId="0" borderId="5" xfId="31" applyNumberFormat="1" applyFont="1" applyBorder="1" applyAlignment="1">
      <alignment horizontal="right"/>
    </xf>
    <xf numFmtId="183" fontId="11" fillId="0" borderId="6" xfId="31" applyNumberFormat="1" applyFont="1" applyBorder="1" applyAlignment="1">
      <alignment horizontal="right"/>
    </xf>
    <xf numFmtId="0" fontId="39" fillId="33" borderId="0" xfId="30" applyFont="1" applyFill="1"/>
    <xf numFmtId="183" fontId="11" fillId="0" borderId="8" xfId="31" applyNumberFormat="1" applyFont="1" applyBorder="1" applyAlignment="1">
      <alignment horizontal="right"/>
    </xf>
    <xf numFmtId="0" fontId="11" fillId="33" borderId="9" xfId="30" applyFont="1" applyFill="1" applyBorder="1"/>
    <xf numFmtId="171" fontId="11" fillId="0" borderId="8" xfId="31" applyNumberFormat="1" applyFont="1" applyBorder="1" applyAlignment="1">
      <alignment horizontal="right"/>
    </xf>
    <xf numFmtId="0" fontId="11" fillId="33" borderId="57" xfId="30" applyFont="1" applyFill="1" applyBorder="1"/>
    <xf numFmtId="0" fontId="11" fillId="35" borderId="58" xfId="30" applyFont="1" applyFill="1" applyBorder="1"/>
    <xf numFmtId="171" fontId="11" fillId="0" borderId="58" xfId="31" applyNumberFormat="1" applyFont="1" applyBorder="1" applyAlignment="1">
      <alignment horizontal="right"/>
    </xf>
    <xf numFmtId="171" fontId="11" fillId="0" borderId="59" xfId="31" applyNumberFormat="1" applyFont="1" applyBorder="1" applyAlignment="1">
      <alignment horizontal="right"/>
    </xf>
    <xf numFmtId="0" fontId="16" fillId="33" borderId="0" xfId="30" applyFont="1" applyFill="1" applyAlignment="1">
      <alignment vertical="top" wrapText="1"/>
    </xf>
    <xf numFmtId="0" fontId="13" fillId="35" borderId="45" xfId="30" applyFont="1" applyFill="1" applyBorder="1" applyAlignment="1">
      <alignment horizontal="center" vertical="center" wrapText="1"/>
    </xf>
    <xf numFmtId="166" fontId="11" fillId="33" borderId="0" xfId="30" applyNumberFormat="1" applyFont="1" applyFill="1"/>
    <xf numFmtId="0" fontId="11" fillId="33" borderId="48" xfId="30" applyFont="1" applyFill="1" applyBorder="1"/>
    <xf numFmtId="166" fontId="11" fillId="0" borderId="49" xfId="31" applyFont="1" applyBorder="1"/>
    <xf numFmtId="166" fontId="11" fillId="0" borderId="50" xfId="31" applyFont="1" applyBorder="1"/>
    <xf numFmtId="0" fontId="11" fillId="33" borderId="12" xfId="30" applyFont="1" applyFill="1" applyBorder="1"/>
    <xf numFmtId="166" fontId="11" fillId="0" borderId="16" xfId="31" applyFont="1" applyBorder="1"/>
    <xf numFmtId="0" fontId="20" fillId="45" borderId="0" xfId="30" applyFont="1" applyFill="1" applyAlignment="1">
      <alignment horizontal="left" vertical="top"/>
    </xf>
    <xf numFmtId="0" fontId="11" fillId="0" borderId="48" xfId="30" applyFont="1" applyBorder="1"/>
    <xf numFmtId="171" fontId="19" fillId="0" borderId="49" xfId="31" applyNumberFormat="1" applyFont="1" applyBorder="1"/>
    <xf numFmtId="0" fontId="11" fillId="0" borderId="50" xfId="30" applyFont="1" applyBorder="1"/>
    <xf numFmtId="0" fontId="11" fillId="0" borderId="8" xfId="30" applyFont="1" applyBorder="1"/>
    <xf numFmtId="176" fontId="11" fillId="33" borderId="0" xfId="30" applyNumberFormat="1" applyFont="1" applyFill="1"/>
    <xf numFmtId="0" fontId="11" fillId="0" borderId="57" xfId="30" applyFont="1" applyBorder="1"/>
    <xf numFmtId="0" fontId="11" fillId="0" borderId="10" xfId="30" applyFont="1" applyBorder="1" applyAlignment="1">
      <alignment wrapText="1"/>
    </xf>
    <xf numFmtId="171" fontId="19" fillId="0" borderId="14" xfId="31" applyNumberFormat="1" applyFont="1" applyBorder="1"/>
    <xf numFmtId="183" fontId="19" fillId="0" borderId="58" xfId="31" applyNumberFormat="1" applyFont="1" applyBorder="1"/>
    <xf numFmtId="183" fontId="19" fillId="0" borderId="14" xfId="31" applyNumberFormat="1" applyFont="1" applyBorder="1"/>
    <xf numFmtId="0" fontId="11" fillId="0" borderId="16" xfId="30" applyFont="1" applyBorder="1"/>
    <xf numFmtId="0" fontId="11" fillId="33" borderId="4" xfId="30" applyFont="1" applyFill="1" applyBorder="1"/>
    <xf numFmtId="171" fontId="19" fillId="0" borderId="5" xfId="31" applyNumberFormat="1" applyFont="1" applyBorder="1"/>
    <xf numFmtId="0" fontId="11" fillId="33" borderId="6" xfId="30" applyFont="1" applyFill="1" applyBorder="1"/>
    <xf numFmtId="165" fontId="11" fillId="33" borderId="0" xfId="30" applyNumberFormat="1" applyFont="1" applyFill="1"/>
    <xf numFmtId="0" fontId="11" fillId="33" borderId="50" xfId="30" applyFont="1" applyFill="1" applyBorder="1"/>
    <xf numFmtId="0" fontId="11" fillId="33" borderId="16" xfId="30" applyFont="1" applyFill="1" applyBorder="1"/>
    <xf numFmtId="183" fontId="19" fillId="0" borderId="5" xfId="31" applyNumberFormat="1" applyFont="1" applyBorder="1"/>
    <xf numFmtId="0" fontId="11" fillId="33" borderId="8" xfId="30" applyFont="1" applyFill="1" applyBorder="1"/>
    <xf numFmtId="185" fontId="11" fillId="0" borderId="14" xfId="31" applyNumberFormat="1" applyFont="1" applyBorder="1"/>
    <xf numFmtId="0" fontId="25" fillId="45" borderId="0" xfId="33" applyFill="1"/>
    <xf numFmtId="180" fontId="34" fillId="47" borderId="21" xfId="33" applyNumberFormat="1" applyFont="1" applyFill="1" applyBorder="1"/>
    <xf numFmtId="0" fontId="33" fillId="45" borderId="0" xfId="33" applyFont="1" applyFill="1" applyAlignment="1">
      <alignment horizontal="left" vertical="top" wrapText="1"/>
    </xf>
    <xf numFmtId="180" fontId="34" fillId="45" borderId="0" xfId="33" applyNumberFormat="1" applyFont="1" applyFill="1"/>
    <xf numFmtId="180" fontId="34" fillId="46" borderId="21" xfId="33" applyNumberFormat="1" applyFont="1" applyFill="1" applyBorder="1"/>
    <xf numFmtId="177" fontId="34" fillId="47" borderId="21" xfId="33" applyNumberFormat="1" applyFont="1" applyFill="1" applyBorder="1"/>
    <xf numFmtId="178" fontId="34" fillId="0" borderId="21" xfId="33" applyNumberFormat="1" applyFont="1" applyBorder="1" applyAlignment="1">
      <alignment vertical="center"/>
    </xf>
    <xf numFmtId="175" fontId="34" fillId="45" borderId="0" xfId="33" applyNumberFormat="1" applyFont="1" applyFill="1"/>
    <xf numFmtId="176" fontId="34" fillId="0" borderId="21" xfId="33" applyNumberFormat="1" applyFont="1" applyBorder="1" applyAlignment="1">
      <alignment horizontal="center"/>
    </xf>
    <xf numFmtId="0" fontId="34" fillId="45" borderId="0" xfId="33" applyFont="1" applyFill="1" applyAlignment="1">
      <alignment horizontal="left" wrapText="1"/>
    </xf>
    <xf numFmtId="0" fontId="34" fillId="46" borderId="21" xfId="33" applyFont="1" applyFill="1" applyBorder="1" applyAlignment="1">
      <alignment horizontal="left" wrapText="1"/>
    </xf>
    <xf numFmtId="0" fontId="34" fillId="46" borderId="27" xfId="33" applyFont="1" applyFill="1" applyBorder="1" applyAlignment="1">
      <alignment horizontal="left" wrapText="1"/>
    </xf>
    <xf numFmtId="0" fontId="34" fillId="0" borderId="28" xfId="33" applyFont="1" applyBorder="1" applyAlignment="1">
      <alignment horizontal="left" wrapText="1"/>
    </xf>
    <xf numFmtId="0" fontId="34" fillId="0" borderId="29" xfId="33" applyFont="1" applyBorder="1" applyAlignment="1">
      <alignment horizontal="left" wrapText="1"/>
    </xf>
    <xf numFmtId="0" fontId="34" fillId="46" borderId="30" xfId="33" applyFont="1" applyFill="1" applyBorder="1" applyAlignment="1">
      <alignment horizontal="left" wrapText="1"/>
    </xf>
    <xf numFmtId="0" fontId="34" fillId="46" borderId="31" xfId="33" applyFont="1" applyFill="1" applyBorder="1" applyAlignment="1">
      <alignment horizontal="left" wrapText="1"/>
    </xf>
    <xf numFmtId="0" fontId="34" fillId="0" borderId="32" xfId="33" applyFont="1" applyBorder="1" applyAlignment="1">
      <alignment horizontal="left" wrapText="1"/>
    </xf>
    <xf numFmtId="0" fontId="34" fillId="46" borderId="33" xfId="33" applyFont="1" applyFill="1" applyBorder="1" applyAlignment="1">
      <alignment horizontal="left" wrapText="1"/>
    </xf>
    <xf numFmtId="0" fontId="34" fillId="46" borderId="34" xfId="33" applyFont="1" applyFill="1" applyBorder="1" applyAlignment="1">
      <alignment horizontal="left" wrapText="1"/>
    </xf>
    <xf numFmtId="0" fontId="34" fillId="46" borderId="35" xfId="33" applyFont="1" applyFill="1" applyBorder="1" applyAlignment="1">
      <alignment horizontal="left" wrapText="1"/>
    </xf>
    <xf numFmtId="178" fontId="34" fillId="0" borderId="35" xfId="33" applyNumberFormat="1" applyFont="1" applyBorder="1" applyAlignment="1">
      <alignment horizontal="center" wrapText="1"/>
    </xf>
    <xf numFmtId="0" fontId="34" fillId="46" borderId="36" xfId="33" applyFont="1" applyFill="1" applyBorder="1" applyAlignment="1">
      <alignment horizontal="left" wrapText="1"/>
    </xf>
    <xf numFmtId="179" fontId="34" fillId="0" borderId="35" xfId="33" applyNumberFormat="1" applyFont="1" applyBorder="1" applyAlignment="1">
      <alignment horizontal="center" wrapText="1"/>
    </xf>
    <xf numFmtId="0" fontId="34" fillId="45" borderId="0" xfId="33" applyFont="1" applyFill="1"/>
    <xf numFmtId="0" fontId="34" fillId="0" borderId="21" xfId="33" applyFont="1" applyBorder="1"/>
    <xf numFmtId="0" fontId="34" fillId="46" borderId="21" xfId="33" applyFont="1" applyFill="1" applyBorder="1"/>
    <xf numFmtId="178" fontId="34" fillId="0" borderId="21" xfId="33" applyNumberFormat="1" applyFont="1" applyBorder="1" applyAlignment="1">
      <alignment horizontal="center"/>
    </xf>
    <xf numFmtId="178" fontId="34" fillId="0" borderId="21" xfId="33" applyNumberFormat="1" applyFont="1" applyBorder="1" applyAlignment="1">
      <alignment horizontal="center" vertical="center"/>
    </xf>
    <xf numFmtId="178" fontId="34" fillId="45" borderId="21" xfId="33" applyNumberFormat="1" applyFont="1" applyFill="1" applyBorder="1" applyAlignment="1">
      <alignment horizontal="center"/>
    </xf>
    <xf numFmtId="180" fontId="34" fillId="47" borderId="21" xfId="33" applyNumberFormat="1" applyFont="1" applyFill="1" applyBorder="1" applyAlignment="1">
      <alignment horizontal="center" vertical="center"/>
    </xf>
    <xf numFmtId="178" fontId="34" fillId="45" borderId="21" xfId="33" applyNumberFormat="1" applyFont="1" applyFill="1" applyBorder="1" applyAlignment="1">
      <alignment horizontal="center" vertical="center"/>
    </xf>
    <xf numFmtId="0" fontId="34" fillId="46" borderId="23" xfId="33" applyFont="1" applyFill="1" applyBorder="1"/>
    <xf numFmtId="0" fontId="34" fillId="46" borderId="24" xfId="33" applyFont="1" applyFill="1" applyBorder="1"/>
    <xf numFmtId="0" fontId="34" fillId="46" borderId="25" xfId="33" applyFont="1" applyFill="1" applyBorder="1"/>
    <xf numFmtId="0" fontId="34" fillId="46" borderId="26" xfId="33" applyFont="1" applyFill="1" applyBorder="1"/>
    <xf numFmtId="177" fontId="34" fillId="0" borderId="21" xfId="33" applyNumberFormat="1" applyFont="1" applyBorder="1" applyAlignment="1">
      <alignment horizontal="center"/>
    </xf>
    <xf numFmtId="0" fontId="7" fillId="0" borderId="0" xfId="0" applyFont="1"/>
    <xf numFmtId="0" fontId="0" fillId="49" borderId="0" xfId="0" applyFill="1"/>
    <xf numFmtId="0" fontId="43" fillId="0" borderId="0" xfId="0" applyFont="1"/>
    <xf numFmtId="0" fontId="36" fillId="0" borderId="0" xfId="0" applyFont="1"/>
    <xf numFmtId="11" fontId="36" fillId="0" borderId="0" xfId="0" applyNumberFormat="1" applyFont="1"/>
    <xf numFmtId="0" fontId="0" fillId="0" borderId="60" xfId="0" applyBorder="1"/>
    <xf numFmtId="0" fontId="10" fillId="31" borderId="60" xfId="30" applyFont="1" applyFill="1" applyBorder="1" applyAlignment="1">
      <alignment horizontal="center"/>
    </xf>
    <xf numFmtId="0" fontId="10" fillId="32" borderId="61" xfId="30" applyFont="1" applyFill="1" applyBorder="1"/>
    <xf numFmtId="0" fontId="11" fillId="32" borderId="62" xfId="30" applyFont="1" applyFill="1" applyBorder="1"/>
    <xf numFmtId="0" fontId="11" fillId="32" borderId="63" xfId="30" applyFont="1" applyFill="1" applyBorder="1"/>
    <xf numFmtId="0" fontId="13" fillId="35" borderId="51" xfId="30" applyFont="1" applyFill="1" applyBorder="1" applyAlignment="1">
      <alignment horizontal="center" vertical="top" wrapText="1"/>
    </xf>
    <xf numFmtId="0" fontId="13" fillId="35" borderId="66" xfId="30" applyFont="1" applyFill="1" applyBorder="1" applyAlignment="1">
      <alignment horizontal="center" vertical="top" wrapText="1"/>
    </xf>
    <xf numFmtId="3" fontId="11" fillId="33" borderId="0" xfId="30" applyNumberFormat="1" applyFont="1" applyFill="1"/>
    <xf numFmtId="0" fontId="11" fillId="33" borderId="71" xfId="30" applyFont="1" applyFill="1" applyBorder="1"/>
    <xf numFmtId="169" fontId="11" fillId="33" borderId="6" xfId="31" applyNumberFormat="1" applyFont="1" applyFill="1" applyBorder="1"/>
    <xf numFmtId="169" fontId="11" fillId="33" borderId="8" xfId="31" applyNumberFormat="1" applyFont="1" applyFill="1" applyBorder="1"/>
    <xf numFmtId="169" fontId="11" fillId="45" borderId="8" xfId="31" applyNumberFormat="1" applyFont="1" applyFill="1" applyBorder="1"/>
    <xf numFmtId="169" fontId="11" fillId="33" borderId="16" xfId="31" applyNumberFormat="1" applyFont="1" applyFill="1" applyBorder="1" applyAlignment="1">
      <alignment horizontal="right"/>
    </xf>
    <xf numFmtId="0" fontId="10" fillId="33" borderId="0" xfId="30" applyFont="1" applyFill="1" applyAlignment="1">
      <alignment horizontal="center"/>
    </xf>
    <xf numFmtId="0" fontId="13" fillId="33" borderId="0" xfId="30" applyFont="1" applyFill="1" applyAlignment="1">
      <alignment horizontal="left"/>
    </xf>
    <xf numFmtId="0" fontId="13" fillId="35" borderId="53" xfId="30" applyFont="1" applyFill="1" applyBorder="1" applyAlignment="1">
      <alignment horizontal="center" vertical="top" wrapText="1"/>
    </xf>
    <xf numFmtId="0" fontId="13" fillId="35" borderId="72" xfId="30" applyFont="1" applyFill="1" applyBorder="1" applyAlignment="1">
      <alignment horizontal="center" vertical="top" wrapText="1"/>
    </xf>
    <xf numFmtId="187" fontId="11" fillId="33" borderId="74" xfId="31" applyNumberFormat="1" applyFont="1" applyFill="1" applyBorder="1"/>
    <xf numFmtId="170" fontId="11" fillId="33" borderId="0" xfId="30" applyNumberFormat="1" applyFont="1" applyFill="1"/>
    <xf numFmtId="187" fontId="11" fillId="33" borderId="63" xfId="31" applyNumberFormat="1" applyFont="1" applyFill="1" applyBorder="1"/>
    <xf numFmtId="187" fontId="11" fillId="45" borderId="63" xfId="31" applyNumberFormat="1" applyFont="1" applyFill="1" applyBorder="1"/>
    <xf numFmtId="0" fontId="11" fillId="33" borderId="10" xfId="30" applyFont="1" applyFill="1" applyBorder="1" applyAlignment="1">
      <alignment horizontal="left"/>
    </xf>
    <xf numFmtId="187" fontId="11" fillId="33" borderId="79" xfId="31" applyNumberFormat="1" applyFont="1" applyFill="1" applyBorder="1"/>
    <xf numFmtId="0" fontId="0" fillId="0" borderId="61" xfId="0" applyBorder="1"/>
    <xf numFmtId="0" fontId="0" fillId="0" borderId="64" xfId="0" applyBorder="1"/>
    <xf numFmtId="0" fontId="0" fillId="0" borderId="81" xfId="0" applyBorder="1"/>
    <xf numFmtId="0" fontId="0" fillId="0" borderId="65" xfId="0" applyBorder="1"/>
    <xf numFmtId="188" fontId="0" fillId="0" borderId="0" xfId="0" applyNumberFormat="1"/>
    <xf numFmtId="188" fontId="0" fillId="0" borderId="49" xfId="0" applyNumberFormat="1" applyBorder="1"/>
    <xf numFmtId="0" fontId="0" fillId="0" borderId="49" xfId="0" applyBorder="1"/>
    <xf numFmtId="0" fontId="0" fillId="0" borderId="65" xfId="0" applyBorder="1" applyAlignment="1">
      <alignment horizontal="left"/>
    </xf>
    <xf numFmtId="0" fontId="11" fillId="0" borderId="65" xfId="0" applyFont="1" applyBorder="1" applyAlignment="1">
      <alignment horizontal="left"/>
    </xf>
    <xf numFmtId="0" fontId="11" fillId="0" borderId="49" xfId="0" applyFont="1" applyBorder="1" applyAlignment="1">
      <alignment horizontal="left"/>
    </xf>
    <xf numFmtId="0" fontId="10" fillId="31" borderId="60" xfId="30" applyFont="1" applyFill="1" applyBorder="1" applyAlignment="1">
      <alignment horizontal="center" vertical="center"/>
    </xf>
    <xf numFmtId="0" fontId="10" fillId="32" borderId="61" xfId="30" applyFont="1" applyFill="1" applyBorder="1" applyAlignment="1">
      <alignment vertical="center"/>
    </xf>
    <xf numFmtId="0" fontId="10" fillId="32" borderId="62" xfId="30" applyFont="1" applyFill="1" applyBorder="1" applyAlignment="1">
      <alignment vertical="center"/>
    </xf>
    <xf numFmtId="0" fontId="11" fillId="32" borderId="62" xfId="30" applyFont="1" applyFill="1" applyBorder="1" applyAlignment="1">
      <alignment vertical="center"/>
    </xf>
    <xf numFmtId="0" fontId="11" fillId="32" borderId="63" xfId="30" applyFont="1" applyFill="1" applyBorder="1" applyAlignment="1">
      <alignment vertical="center"/>
    </xf>
    <xf numFmtId="0" fontId="16" fillId="36" borderId="60" xfId="30" applyFont="1" applyFill="1" applyBorder="1" applyAlignment="1">
      <alignment horizontal="center" vertical="top" wrapText="1"/>
    </xf>
    <xf numFmtId="0" fontId="13" fillId="34" borderId="56" xfId="30" applyFont="1" applyFill="1" applyBorder="1" applyAlignment="1">
      <alignment horizontal="center"/>
    </xf>
    <xf numFmtId="166" fontId="11" fillId="0" borderId="60" xfId="31" applyFont="1" applyBorder="1" applyAlignment="1">
      <alignment vertical="center"/>
    </xf>
    <xf numFmtId="166" fontId="11" fillId="0" borderId="60" xfId="31" applyFont="1" applyBorder="1"/>
    <xf numFmtId="169" fontId="11" fillId="0" borderId="60" xfId="31" applyNumberFormat="1" applyFont="1" applyBorder="1"/>
    <xf numFmtId="170" fontId="11" fillId="0" borderId="60" xfId="31" applyNumberFormat="1" applyFont="1" applyBorder="1"/>
    <xf numFmtId="174" fontId="11" fillId="0" borderId="60" xfId="31" applyNumberFormat="1" applyFont="1" applyBorder="1" applyAlignment="1">
      <alignment vertical="center"/>
    </xf>
    <xf numFmtId="166" fontId="19" fillId="0" borderId="60" xfId="31" applyFont="1" applyBorder="1"/>
    <xf numFmtId="0" fontId="10" fillId="40" borderId="61" xfId="30" applyFont="1" applyFill="1" applyBorder="1"/>
    <xf numFmtId="0" fontId="11" fillId="40" borderId="62" xfId="30" applyFont="1" applyFill="1" applyBorder="1"/>
    <xf numFmtId="0" fontId="16" fillId="36" borderId="60" xfId="30" applyFont="1" applyFill="1" applyBorder="1" applyAlignment="1">
      <alignment horizontal="center" vertical="center" wrapText="1"/>
    </xf>
    <xf numFmtId="0" fontId="13" fillId="34" borderId="56" xfId="30" applyFont="1" applyFill="1" applyBorder="1" applyAlignment="1">
      <alignment horizontal="center" vertical="center" wrapText="1"/>
    </xf>
    <xf numFmtId="173" fontId="11" fillId="0" borderId="60" xfId="31" applyNumberFormat="1" applyFont="1" applyBorder="1"/>
    <xf numFmtId="166" fontId="11" fillId="37" borderId="60" xfId="31" applyFont="1" applyFill="1" applyBorder="1"/>
    <xf numFmtId="170" fontId="11" fillId="37" borderId="60" xfId="31" applyNumberFormat="1" applyFont="1" applyFill="1" applyBorder="1"/>
    <xf numFmtId="174" fontId="11" fillId="0" borderId="60" xfId="31" applyNumberFormat="1" applyFont="1" applyBorder="1"/>
    <xf numFmtId="171" fontId="11" fillId="0" borderId="60" xfId="31" applyNumberFormat="1" applyFont="1" applyBorder="1"/>
    <xf numFmtId="166" fontId="11" fillId="0" borderId="60" xfId="31" applyFont="1" applyBorder="1" applyAlignment="1">
      <alignment horizontal="center"/>
    </xf>
    <xf numFmtId="0" fontId="11" fillId="33" borderId="60" xfId="30" applyFont="1" applyFill="1" applyBorder="1" applyAlignment="1">
      <alignment horizontal="left"/>
    </xf>
    <xf numFmtId="183" fontId="11" fillId="0" borderId="60" xfId="31" applyNumberFormat="1" applyFont="1" applyBorder="1"/>
    <xf numFmtId="170" fontId="19" fillId="0" borderId="60" xfId="31" applyNumberFormat="1" applyFont="1" applyBorder="1"/>
    <xf numFmtId="173" fontId="11" fillId="0" borderId="60" xfId="31" applyNumberFormat="1" applyFont="1" applyBorder="1" applyAlignment="1">
      <alignment vertical="center"/>
    </xf>
    <xf numFmtId="166" fontId="11" fillId="37" borderId="60" xfId="31" applyFont="1" applyFill="1" applyBorder="1" applyAlignment="1">
      <alignment vertical="center"/>
    </xf>
    <xf numFmtId="170" fontId="11" fillId="37" borderId="60" xfId="31" applyNumberFormat="1" applyFont="1" applyFill="1" applyBorder="1" applyAlignment="1">
      <alignment vertical="center"/>
    </xf>
    <xf numFmtId="183" fontId="19" fillId="0" borderId="60" xfId="31" applyNumberFormat="1" applyFont="1" applyBorder="1"/>
    <xf numFmtId="166" fontId="13" fillId="34" borderId="56" xfId="30" applyNumberFormat="1" applyFont="1" applyFill="1" applyBorder="1" applyAlignment="1">
      <alignment horizontal="center" vertical="center"/>
    </xf>
    <xf numFmtId="166" fontId="13" fillId="34" borderId="56" xfId="30" applyNumberFormat="1" applyFont="1" applyFill="1" applyBorder="1" applyAlignment="1">
      <alignment horizontal="center" vertical="center" wrapText="1"/>
    </xf>
    <xf numFmtId="183" fontId="11" fillId="0" borderId="60" xfId="31" applyNumberFormat="1" applyFont="1" applyBorder="1" applyAlignment="1">
      <alignment horizontal="right"/>
    </xf>
    <xf numFmtId="0" fontId="11" fillId="35" borderId="60" xfId="30" applyFont="1" applyFill="1" applyBorder="1"/>
    <xf numFmtId="171" fontId="11" fillId="0" borderId="60" xfId="31" applyNumberFormat="1" applyFont="1" applyBorder="1" applyAlignment="1">
      <alignment horizontal="right"/>
    </xf>
    <xf numFmtId="0" fontId="13" fillId="32" borderId="62" xfId="30" applyFont="1" applyFill="1" applyBorder="1"/>
    <xf numFmtId="184" fontId="11" fillId="0" borderId="60" xfId="31" applyNumberFormat="1" applyFont="1" applyBorder="1"/>
    <xf numFmtId="171" fontId="19" fillId="0" borderId="60" xfId="31" applyNumberFormat="1" applyFont="1" applyBorder="1"/>
    <xf numFmtId="171" fontId="19" fillId="0" borderId="64" xfId="31" applyNumberFormat="1" applyFont="1" applyBorder="1"/>
    <xf numFmtId="183" fontId="19" fillId="0" borderId="64" xfId="31" applyNumberFormat="1" applyFont="1" applyBorder="1"/>
    <xf numFmtId="183" fontId="19" fillId="0" borderId="63" xfId="31" applyNumberFormat="1" applyFont="1" applyBorder="1"/>
    <xf numFmtId="0" fontId="10" fillId="32" borderId="62" xfId="30" applyFont="1" applyFill="1" applyBorder="1"/>
    <xf numFmtId="0" fontId="20" fillId="45" borderId="0" xfId="30" applyFont="1" applyFill="1" applyAlignment="1">
      <alignment horizontal="left" vertical="top" wrapText="1"/>
    </xf>
    <xf numFmtId="180" fontId="34" fillId="0" borderId="21" xfId="33" applyNumberFormat="1" applyFont="1" applyBorder="1" applyAlignment="1">
      <alignment horizontal="center"/>
    </xf>
    <xf numFmtId="0" fontId="56" fillId="63" borderId="87" xfId="127" applyFont="1" applyFill="1" applyBorder="1" applyAlignment="1">
      <alignment horizontal="left" vertical="center"/>
    </xf>
    <xf numFmtId="0" fontId="57" fillId="0" borderId="83" xfId="124" applyFont="1" applyFill="1">
      <alignment vertical="center"/>
    </xf>
    <xf numFmtId="0" fontId="57" fillId="0" borderId="0" xfId="128" applyFont="1">
      <alignment vertical="center"/>
    </xf>
    <xf numFmtId="0" fontId="57" fillId="0" borderId="0" xfId="125" applyFont="1" applyFill="1" applyBorder="1" applyAlignment="1">
      <alignment vertical="center"/>
    </xf>
    <xf numFmtId="0" fontId="56" fillId="0" borderId="0" xfId="0" applyFont="1" applyAlignment="1">
      <alignment vertical="center"/>
    </xf>
    <xf numFmtId="0" fontId="58" fillId="0" borderId="0" xfId="0" applyFont="1"/>
    <xf numFmtId="0" fontId="59" fillId="0" borderId="0" xfId="62" applyFont="1"/>
    <xf numFmtId="0" fontId="60" fillId="0" borderId="0" xfId="0" applyFont="1"/>
    <xf numFmtId="0" fontId="56" fillId="0" borderId="0" xfId="0" applyFont="1"/>
    <xf numFmtId="0" fontId="61" fillId="67" borderId="117" xfId="0" applyFont="1" applyFill="1" applyBorder="1"/>
    <xf numFmtId="0" fontId="62" fillId="0" borderId="0" xfId="0" applyFont="1"/>
    <xf numFmtId="0" fontId="63" fillId="0" borderId="114" xfId="0" applyFont="1" applyBorder="1" applyAlignment="1">
      <alignment wrapText="1"/>
    </xf>
    <xf numFmtId="0" fontId="63" fillId="0" borderId="113" xfId="0" applyFont="1" applyBorder="1" applyAlignment="1">
      <alignment wrapText="1"/>
    </xf>
    <xf numFmtId="0" fontId="64" fillId="0" borderId="0" xfId="0" applyFont="1"/>
    <xf numFmtId="0" fontId="62" fillId="0" borderId="0" xfId="0" applyFont="1" applyAlignment="1">
      <alignment wrapText="1"/>
    </xf>
    <xf numFmtId="0" fontId="61" fillId="0" borderId="114" xfId="0" applyFont="1" applyBorder="1"/>
    <xf numFmtId="0" fontId="56" fillId="0" borderId="113" xfId="0" applyFont="1" applyBorder="1" applyAlignment="1">
      <alignment vertical="top" wrapText="1"/>
    </xf>
    <xf numFmtId="0" fontId="56" fillId="0" borderId="0" xfId="0" applyFont="1" applyAlignment="1">
      <alignment vertical="top"/>
    </xf>
    <xf numFmtId="0" fontId="56" fillId="0" borderId="0" xfId="0" applyFont="1" applyAlignment="1">
      <alignment wrapText="1"/>
    </xf>
    <xf numFmtId="0" fontId="61" fillId="67" borderId="92" xfId="0" applyFont="1" applyFill="1" applyBorder="1"/>
    <xf numFmtId="0" fontId="56" fillId="0" borderId="112" xfId="0" applyFont="1" applyBorder="1" applyAlignment="1">
      <alignment wrapText="1"/>
    </xf>
    <xf numFmtId="0" fontId="56" fillId="0" borderId="114" xfId="0" applyFont="1" applyBorder="1" applyAlignment="1">
      <alignment wrapText="1"/>
    </xf>
    <xf numFmtId="0" fontId="56" fillId="0" borderId="113" xfId="0" applyFont="1" applyBorder="1" applyAlignment="1">
      <alignment wrapText="1"/>
    </xf>
    <xf numFmtId="0" fontId="56" fillId="61" borderId="114" xfId="0" applyFont="1" applyFill="1" applyBorder="1" applyAlignment="1">
      <alignment vertical="top" wrapText="1"/>
    </xf>
    <xf numFmtId="0" fontId="56" fillId="55" borderId="114" xfId="0" applyFont="1" applyFill="1" applyBorder="1" applyAlignment="1">
      <alignment wrapText="1"/>
    </xf>
    <xf numFmtId="0" fontId="56" fillId="64" borderId="114" xfId="0" applyFont="1" applyFill="1" applyBorder="1" applyAlignment="1">
      <alignment wrapText="1"/>
    </xf>
    <xf numFmtId="0" fontId="56" fillId="65" borderId="114" xfId="0" applyFont="1" applyFill="1" applyBorder="1" applyAlignment="1">
      <alignment wrapText="1"/>
    </xf>
    <xf numFmtId="0" fontId="56" fillId="0" borderId="101" xfId="0" applyFont="1" applyBorder="1" applyAlignment="1">
      <alignment wrapText="1"/>
    </xf>
    <xf numFmtId="0" fontId="56" fillId="51" borderId="114" xfId="0" applyFont="1" applyFill="1" applyBorder="1" applyAlignment="1">
      <alignment vertical="top" wrapText="1"/>
    </xf>
    <xf numFmtId="0" fontId="56" fillId="67" borderId="113" xfId="0" applyFont="1" applyFill="1" applyBorder="1" applyAlignment="1">
      <alignment vertical="top" wrapText="1"/>
    </xf>
    <xf numFmtId="0" fontId="66" fillId="0" borderId="0" xfId="128" applyFont="1">
      <alignment vertical="center"/>
    </xf>
    <xf numFmtId="0" fontId="61" fillId="67" borderId="85" xfId="0" applyFont="1" applyFill="1" applyBorder="1"/>
    <xf numFmtId="0" fontId="61" fillId="67" borderId="86" xfId="0" applyFont="1" applyFill="1" applyBorder="1"/>
    <xf numFmtId="0" fontId="61" fillId="67" borderId="87" xfId="0" applyFont="1" applyFill="1" applyBorder="1"/>
    <xf numFmtId="0" fontId="56" fillId="0" borderId="3" xfId="0" applyFont="1" applyBorder="1"/>
    <xf numFmtId="0" fontId="56" fillId="0" borderId="85" xfId="0" applyFont="1" applyBorder="1"/>
    <xf numFmtId="0" fontId="56" fillId="0" borderId="86" xfId="0" applyFont="1" applyBorder="1"/>
    <xf numFmtId="0" fontId="56" fillId="0" borderId="87" xfId="0" applyFont="1" applyBorder="1"/>
    <xf numFmtId="0" fontId="56" fillId="0" borderId="90" xfId="0" applyFont="1" applyBorder="1"/>
    <xf numFmtId="0" fontId="56" fillId="67" borderId="86" xfId="0" applyFont="1" applyFill="1" applyBorder="1" applyAlignment="1">
      <alignment horizontal="center"/>
    </xf>
    <xf numFmtId="0" fontId="56" fillId="67" borderId="86" xfId="0" applyFont="1" applyFill="1" applyBorder="1"/>
    <xf numFmtId="0" fontId="69" fillId="62" borderId="91" xfId="0" applyFont="1" applyFill="1" applyBorder="1" applyAlignment="1">
      <alignment vertical="top"/>
    </xf>
    <xf numFmtId="0" fontId="69" fillId="62" borderId="97" xfId="0" applyFont="1" applyFill="1" applyBorder="1" applyAlignment="1">
      <alignment horizontal="left"/>
    </xf>
    <xf numFmtId="0" fontId="63" fillId="0" borderId="3" xfId="0" applyFont="1" applyBorder="1"/>
    <xf numFmtId="2" fontId="63" fillId="0" borderId="97" xfId="0" applyNumberFormat="1" applyFont="1" applyBorder="1" applyAlignment="1">
      <alignment horizontal="center"/>
    </xf>
    <xf numFmtId="175" fontId="63" fillId="0" borderId="97" xfId="0" applyNumberFormat="1" applyFont="1" applyBorder="1" applyAlignment="1">
      <alignment horizontal="center"/>
    </xf>
    <xf numFmtId="175" fontId="63" fillId="69" borderId="97" xfId="0" applyNumberFormat="1" applyFont="1" applyFill="1" applyBorder="1" applyAlignment="1">
      <alignment horizontal="center"/>
    </xf>
    <xf numFmtId="0" fontId="63" fillId="0" borderId="97" xfId="0" applyFont="1" applyBorder="1" applyAlignment="1">
      <alignment horizontal="left"/>
    </xf>
    <xf numFmtId="0" fontId="63" fillId="0" borderId="85" xfId="0" applyFont="1" applyBorder="1"/>
    <xf numFmtId="0" fontId="63" fillId="0" borderId="3" xfId="0" applyFont="1" applyFill="1" applyBorder="1"/>
    <xf numFmtId="2" fontId="63" fillId="61" borderId="97" xfId="0" applyNumberFormat="1" applyFont="1" applyFill="1" applyBorder="1" applyAlignment="1">
      <alignment horizontal="center"/>
    </xf>
    <xf numFmtId="175" fontId="63" fillId="0" borderId="97" xfId="0" applyNumberFormat="1" applyFont="1" applyFill="1" applyBorder="1" applyAlignment="1">
      <alignment horizontal="center"/>
    </xf>
    <xf numFmtId="0" fontId="63" fillId="0" borderId="85" xfId="0" applyFont="1" applyBorder="1" applyAlignment="1">
      <alignment horizontal="left"/>
    </xf>
    <xf numFmtId="177" fontId="63" fillId="0" borderId="3" xfId="0" applyNumberFormat="1" applyFont="1" applyBorder="1" applyAlignment="1">
      <alignment horizontal="center"/>
    </xf>
    <xf numFmtId="2" fontId="63" fillId="61" borderId="85" xfId="0" applyNumberFormat="1" applyFont="1" applyFill="1" applyBorder="1" applyAlignment="1">
      <alignment horizontal="center"/>
    </xf>
    <xf numFmtId="175" fontId="63" fillId="69" borderId="85" xfId="0" applyNumberFormat="1" applyFont="1" applyFill="1" applyBorder="1" applyAlignment="1">
      <alignment horizontal="center"/>
    </xf>
    <xf numFmtId="2" fontId="63" fillId="0" borderId="85" xfId="0" applyNumberFormat="1" applyFont="1" applyBorder="1" applyAlignment="1">
      <alignment horizontal="center"/>
    </xf>
    <xf numFmtId="175" fontId="63" fillId="0" borderId="3" xfId="0" applyNumberFormat="1" applyFont="1" applyBorder="1" applyAlignment="1">
      <alignment horizontal="center"/>
    </xf>
    <xf numFmtId="2" fontId="56" fillId="61" borderId="85" xfId="0" applyNumberFormat="1" applyFont="1" applyFill="1" applyBorder="1" applyAlignment="1">
      <alignment horizontal="center"/>
    </xf>
    <xf numFmtId="175" fontId="56" fillId="0" borderId="3" xfId="0" applyNumberFormat="1" applyFont="1" applyBorder="1" applyAlignment="1">
      <alignment horizontal="center"/>
    </xf>
    <xf numFmtId="0" fontId="69" fillId="62" borderId="89" xfId="0" applyFont="1" applyFill="1" applyBorder="1" applyAlignment="1">
      <alignment vertical="center"/>
    </xf>
    <xf numFmtId="0" fontId="56" fillId="0" borderId="3" xfId="0" applyFont="1" applyBorder="1" applyAlignment="1">
      <alignment horizontal="left"/>
    </xf>
    <xf numFmtId="175" fontId="63" fillId="61" borderId="3" xfId="0" applyNumberFormat="1" applyFont="1" applyFill="1" applyBorder="1" applyAlignment="1">
      <alignment horizontal="center"/>
    </xf>
    <xf numFmtId="0" fontId="56" fillId="0" borderId="0" xfId="0" applyFont="1" applyBorder="1"/>
    <xf numFmtId="175" fontId="63" fillId="0" borderId="0" xfId="0" applyNumberFormat="1" applyFont="1" applyBorder="1" applyAlignment="1">
      <alignment horizontal="center"/>
    </xf>
    <xf numFmtId="0" fontId="56" fillId="0" borderId="0" xfId="0" applyFont="1" applyBorder="1" applyAlignment="1">
      <alignment horizontal="left"/>
    </xf>
    <xf numFmtId="0" fontId="63" fillId="0" borderId="0" xfId="0" applyFont="1" applyBorder="1"/>
    <xf numFmtId="0" fontId="69" fillId="62" borderId="90" xfId="0" applyFont="1" applyFill="1" applyBorder="1"/>
    <xf numFmtId="0" fontId="69" fillId="62" borderId="97" xfId="0" applyFont="1" applyFill="1" applyBorder="1"/>
    <xf numFmtId="0" fontId="69" fillId="0" borderId="97" xfId="0" applyFont="1" applyFill="1" applyBorder="1" applyAlignment="1">
      <alignment horizontal="left"/>
    </xf>
    <xf numFmtId="0" fontId="56" fillId="69" borderId="3" xfId="0" applyFont="1" applyFill="1" applyBorder="1" applyAlignment="1">
      <alignment horizontal="center"/>
    </xf>
    <xf numFmtId="0" fontId="75" fillId="0" borderId="3" xfId="0" applyFont="1" applyBorder="1"/>
    <xf numFmtId="0" fontId="56" fillId="0" borderId="3" xfId="0" applyFont="1" applyBorder="1" applyAlignment="1">
      <alignment horizontal="center"/>
    </xf>
    <xf numFmtId="175" fontId="75" fillId="0" borderId="3" xfId="0" applyNumberFormat="1" applyFont="1" applyBorder="1" applyAlignment="1">
      <alignment horizontal="center"/>
    </xf>
    <xf numFmtId="0" fontId="56" fillId="45" borderId="85" xfId="0" applyFont="1" applyFill="1" applyBorder="1"/>
    <xf numFmtId="175" fontId="56" fillId="0" borderId="0" xfId="0" applyNumberFormat="1" applyFont="1" applyAlignment="1">
      <alignment horizontal="center"/>
    </xf>
    <xf numFmtId="0" fontId="56" fillId="0" borderId="0" xfId="0" applyFont="1" applyAlignment="1">
      <alignment horizontal="center"/>
    </xf>
    <xf numFmtId="0" fontId="69" fillId="62" borderId="90" xfId="0" applyFont="1" applyFill="1" applyBorder="1" applyAlignment="1">
      <alignment horizontal="left"/>
    </xf>
    <xf numFmtId="175" fontId="75" fillId="61" borderId="85" xfId="0" applyNumberFormat="1" applyFont="1" applyFill="1" applyBorder="1" applyAlignment="1">
      <alignment horizontal="center"/>
    </xf>
    <xf numFmtId="175" fontId="56" fillId="61" borderId="85" xfId="0" applyNumberFormat="1" applyFont="1" applyFill="1" applyBorder="1" applyAlignment="1">
      <alignment horizontal="center"/>
    </xf>
    <xf numFmtId="175" fontId="56" fillId="61" borderId="85" xfId="0" applyNumberFormat="1" applyFont="1" applyFill="1" applyBorder="1" applyAlignment="1">
      <alignment horizontal="center" vertical="center"/>
    </xf>
    <xf numFmtId="175" fontId="75" fillId="61" borderId="92" xfId="0" applyNumberFormat="1" applyFont="1" applyFill="1" applyBorder="1" applyAlignment="1">
      <alignment horizontal="center"/>
    </xf>
    <xf numFmtId="175" fontId="56" fillId="61" borderId="92" xfId="0" applyNumberFormat="1" applyFont="1" applyFill="1" applyBorder="1" applyAlignment="1">
      <alignment horizontal="center"/>
    </xf>
    <xf numFmtId="175" fontId="56" fillId="0" borderId="3" xfId="0" applyNumberFormat="1" applyFont="1" applyBorder="1" applyAlignment="1">
      <alignment horizontal="center" vertical="center"/>
    </xf>
    <xf numFmtId="0" fontId="75" fillId="0" borderId="0" xfId="129" applyFont="1" applyFill="1" applyBorder="1"/>
    <xf numFmtId="175" fontId="56" fillId="0" borderId="0" xfId="0" applyNumberFormat="1" applyFont="1"/>
    <xf numFmtId="0" fontId="75" fillId="0" borderId="0" xfId="0" applyFont="1"/>
    <xf numFmtId="0" fontId="69" fillId="62" borderId="88" xfId="0" applyFont="1" applyFill="1" applyBorder="1" applyAlignment="1">
      <alignment horizontal="left" vertical="top" wrapText="1"/>
    </xf>
    <xf numFmtId="0" fontId="69" fillId="62" borderId="96" xfId="0" applyFont="1" applyFill="1" applyBorder="1" applyAlignment="1">
      <alignment horizontal="left" vertical="top"/>
    </xf>
    <xf numFmtId="0" fontId="63" fillId="0" borderId="87" xfId="0" applyFont="1" applyBorder="1" applyAlignment="1">
      <alignment horizontal="left" vertical="top" wrapText="1"/>
    </xf>
    <xf numFmtId="3" fontId="56" fillId="61" borderId="3" xfId="0" applyNumberFormat="1" applyFont="1" applyFill="1" applyBorder="1" applyAlignment="1">
      <alignment horizontal="center"/>
    </xf>
    <xf numFmtId="2" fontId="56" fillId="61" borderId="3" xfId="0" applyNumberFormat="1" applyFont="1" applyFill="1" applyBorder="1" applyAlignment="1">
      <alignment horizontal="center"/>
    </xf>
    <xf numFmtId="175" fontId="56" fillId="61" borderId="3" xfId="0" applyNumberFormat="1" applyFont="1" applyFill="1" applyBorder="1" applyAlignment="1">
      <alignment horizontal="center"/>
    </xf>
    <xf numFmtId="0" fontId="75" fillId="0" borderId="87" xfId="0" applyFont="1" applyBorder="1"/>
    <xf numFmtId="0" fontId="75" fillId="0" borderId="87" xfId="129" applyFont="1" applyFill="1" applyBorder="1"/>
    <xf numFmtId="0" fontId="75" fillId="0" borderId="87" xfId="130" applyFont="1" applyFill="1" applyBorder="1"/>
    <xf numFmtId="0" fontId="68" fillId="67" borderId="86" xfId="0" applyFont="1" applyFill="1" applyBorder="1" applyAlignment="1">
      <alignment horizontal="left"/>
    </xf>
    <xf numFmtId="0" fontId="77" fillId="67" borderId="86" xfId="0" applyFont="1" applyFill="1" applyBorder="1" applyAlignment="1">
      <alignment vertical="top"/>
    </xf>
    <xf numFmtId="0" fontId="69" fillId="62" borderId="85" xfId="0" applyFont="1" applyFill="1" applyBorder="1"/>
    <xf numFmtId="0" fontId="69" fillId="62" borderId="86" xfId="0" applyFont="1" applyFill="1" applyBorder="1"/>
    <xf numFmtId="0" fontId="56" fillId="0" borderId="85" xfId="0" applyFont="1" applyBorder="1" applyAlignment="1">
      <alignment vertical="center" wrapText="1"/>
    </xf>
    <xf numFmtId="0" fontId="63" fillId="0" borderId="86" xfId="0" applyFont="1" applyBorder="1"/>
    <xf numFmtId="3" fontId="56" fillId="0" borderId="3" xfId="0" applyNumberFormat="1" applyFont="1" applyBorder="1" applyAlignment="1">
      <alignment horizontal="center"/>
    </xf>
    <xf numFmtId="2" fontId="56" fillId="0" borderId="3" xfId="0" applyNumberFormat="1" applyFont="1" applyBorder="1" applyAlignment="1">
      <alignment horizontal="center"/>
    </xf>
    <xf numFmtId="0" fontId="63" fillId="0" borderId="85" xfId="0" applyFont="1" applyBorder="1" applyAlignment="1">
      <alignment vertical="center" wrapText="1"/>
    </xf>
    <xf numFmtId="0" fontId="63" fillId="0" borderId="0" xfId="0" applyFont="1" applyAlignment="1">
      <alignment horizontal="left" wrapText="1"/>
    </xf>
    <xf numFmtId="0" fontId="78" fillId="45" borderId="0" xfId="0" applyFont="1" applyFill="1"/>
    <xf numFmtId="0" fontId="63" fillId="0" borderId="0" xfId="0" applyFont="1"/>
    <xf numFmtId="0" fontId="75" fillId="0" borderId="0" xfId="129" applyFont="1" applyFill="1" applyBorder="1" applyAlignment="1">
      <alignment horizontal="center"/>
    </xf>
    <xf numFmtId="175" fontId="63" fillId="0" borderId="0" xfId="0" applyNumberFormat="1" applyFont="1" applyAlignment="1">
      <alignment horizontal="center"/>
    </xf>
    <xf numFmtId="0" fontId="69" fillId="62" borderId="85" xfId="0" applyFont="1" applyFill="1" applyBorder="1" applyAlignment="1"/>
    <xf numFmtId="0" fontId="69" fillId="62" borderId="86" xfId="0" applyFont="1" applyFill="1" applyBorder="1" applyAlignment="1"/>
    <xf numFmtId="0" fontId="69" fillId="62" borderId="87" xfId="0" applyFont="1" applyFill="1" applyBorder="1" applyAlignment="1"/>
    <xf numFmtId="0" fontId="69" fillId="62" borderId="89" xfId="0" applyFont="1" applyFill="1" applyBorder="1"/>
    <xf numFmtId="0" fontId="69" fillId="62" borderId="92" xfId="0" applyFont="1" applyFill="1" applyBorder="1"/>
    <xf numFmtId="0" fontId="69" fillId="62" borderId="93" xfId="0" applyFont="1" applyFill="1" applyBorder="1"/>
    <xf numFmtId="0" fontId="69" fillId="62" borderId="3" xfId="0" applyFont="1" applyFill="1" applyBorder="1" applyAlignment="1">
      <alignment horizontal="left" vertical="top" wrapText="1"/>
    </xf>
    <xf numFmtId="0" fontId="69" fillId="62" borderId="3" xfId="0" applyFont="1" applyFill="1" applyBorder="1" applyAlignment="1">
      <alignment horizontal="left" vertical="top"/>
    </xf>
    <xf numFmtId="0" fontId="69" fillId="62" borderId="98" xfId="0" applyFont="1" applyFill="1" applyBorder="1"/>
    <xf numFmtId="0" fontId="63" fillId="0" borderId="3" xfId="0" applyFont="1" applyBorder="1" applyAlignment="1">
      <alignment vertical="center" wrapText="1"/>
    </xf>
    <xf numFmtId="0" fontId="63" fillId="60" borderId="3" xfId="0" applyFont="1" applyFill="1" applyBorder="1"/>
    <xf numFmtId="175" fontId="63" fillId="45" borderId="3" xfId="0" applyNumberFormat="1" applyFont="1" applyFill="1" applyBorder="1"/>
    <xf numFmtId="0" fontId="63" fillId="45" borderId="85" xfId="0" applyFont="1" applyFill="1" applyBorder="1"/>
    <xf numFmtId="0" fontId="78" fillId="45" borderId="86" xfId="0" applyFont="1" applyFill="1" applyBorder="1"/>
    <xf numFmtId="175" fontId="63" fillId="61" borderId="3" xfId="0" applyNumberFormat="1" applyFont="1" applyFill="1" applyBorder="1"/>
    <xf numFmtId="175" fontId="63" fillId="0" borderId="3" xfId="0" applyNumberFormat="1" applyFont="1" applyBorder="1"/>
    <xf numFmtId="176" fontId="63" fillId="0" borderId="3" xfId="0" applyNumberFormat="1" applyFont="1" applyBorder="1"/>
    <xf numFmtId="0" fontId="56" fillId="0" borderId="3" xfId="0" applyFont="1" applyBorder="1" applyAlignment="1">
      <alignment vertical="center" wrapText="1"/>
    </xf>
    <xf numFmtId="0" fontId="78" fillId="62" borderId="93" xfId="0" applyFont="1" applyFill="1" applyBorder="1"/>
    <xf numFmtId="0" fontId="78" fillId="62" borderId="94" xfId="0" applyFont="1" applyFill="1" applyBorder="1"/>
    <xf numFmtId="0" fontId="78" fillId="62" borderId="98" xfId="0" applyFont="1" applyFill="1" applyBorder="1"/>
    <xf numFmtId="0" fontId="78" fillId="62" borderId="99" xfId="0" applyFont="1" applyFill="1" applyBorder="1"/>
    <xf numFmtId="0" fontId="78" fillId="45" borderId="87" xfId="0" applyFont="1" applyFill="1" applyBorder="1"/>
    <xf numFmtId="175" fontId="78" fillId="45" borderId="0" xfId="0" applyNumberFormat="1" applyFont="1" applyFill="1"/>
    <xf numFmtId="0" fontId="68" fillId="67" borderId="86" xfId="0" applyFont="1" applyFill="1" applyBorder="1" applyAlignment="1">
      <alignment horizontal="left" vertical="top" wrapText="1"/>
    </xf>
    <xf numFmtId="0" fontId="77" fillId="67" borderId="87" xfId="0" applyFont="1" applyFill="1" applyBorder="1" applyAlignment="1">
      <alignment vertical="top"/>
    </xf>
    <xf numFmtId="0" fontId="69" fillId="62" borderId="89" xfId="0" applyFont="1" applyFill="1" applyBorder="1" applyAlignment="1">
      <alignment horizontal="left" vertical="top"/>
    </xf>
    <xf numFmtId="0" fontId="63" fillId="0" borderId="3" xfId="0" applyFont="1" applyBorder="1" applyAlignment="1">
      <alignment horizontal="left" vertical="top" wrapText="1"/>
    </xf>
    <xf numFmtId="0" fontId="75" fillId="0" borderId="3" xfId="130" applyFont="1" applyFill="1" applyBorder="1"/>
    <xf numFmtId="0" fontId="63" fillId="0" borderId="89" xfId="0" applyFont="1" applyBorder="1" applyAlignment="1">
      <alignment horizontal="left" vertical="top" wrapText="1"/>
    </xf>
    <xf numFmtId="0" fontId="75" fillId="0" borderId="89" xfId="130" applyFont="1" applyFill="1" applyBorder="1"/>
    <xf numFmtId="0" fontId="63" fillId="45" borderId="3" xfId="0" applyFont="1" applyFill="1" applyBorder="1"/>
    <xf numFmtId="175" fontId="63" fillId="45" borderId="3" xfId="0" applyNumberFormat="1" applyFont="1" applyFill="1" applyBorder="1" applyAlignment="1">
      <alignment horizontal="center" vertical="center"/>
    </xf>
    <xf numFmtId="0" fontId="63" fillId="45" borderId="96" xfId="0" applyFont="1" applyFill="1" applyBorder="1"/>
    <xf numFmtId="0" fontId="63" fillId="45" borderId="0" xfId="0" applyFont="1" applyFill="1"/>
    <xf numFmtId="0" fontId="63" fillId="0" borderId="89" xfId="0" applyFont="1" applyBorder="1" applyAlignment="1">
      <alignment vertical="center" wrapText="1"/>
    </xf>
    <xf numFmtId="0" fontId="63" fillId="0" borderId="89" xfId="0" applyFont="1" applyBorder="1" applyAlignment="1">
      <alignment horizontal="left" vertical="center" wrapText="1"/>
    </xf>
    <xf numFmtId="1" fontId="63" fillId="45" borderId="3" xfId="0" applyNumberFormat="1" applyFont="1" applyFill="1" applyBorder="1" applyAlignment="1">
      <alignment horizontal="center" vertical="center"/>
    </xf>
    <xf numFmtId="0" fontId="63" fillId="0" borderId="3" xfId="0" applyFont="1" applyBorder="1" applyAlignment="1">
      <alignment vertical="top"/>
    </xf>
    <xf numFmtId="175" fontId="63" fillId="45" borderId="3" xfId="0" applyNumberFormat="1" applyFont="1" applyFill="1" applyBorder="1" applyAlignment="1">
      <alignment horizontal="center"/>
    </xf>
    <xf numFmtId="1" fontId="63" fillId="45" borderId="3" xfId="0" applyNumberFormat="1" applyFont="1" applyFill="1" applyBorder="1" applyAlignment="1">
      <alignment horizontal="center"/>
    </xf>
    <xf numFmtId="0" fontId="68" fillId="45" borderId="3" xfId="0" applyFont="1" applyFill="1" applyBorder="1"/>
    <xf numFmtId="0" fontId="63" fillId="0" borderId="0" xfId="0" applyFont="1" applyAlignment="1">
      <alignment horizontal="left" vertical="center"/>
    </xf>
    <xf numFmtId="189" fontId="63" fillId="45" borderId="0" xfId="0" applyNumberFormat="1" applyFont="1" applyFill="1" applyAlignment="1">
      <alignment horizontal="center"/>
    </xf>
    <xf numFmtId="0" fontId="68" fillId="45" borderId="0" xfId="0" applyFont="1" applyFill="1"/>
    <xf numFmtId="0" fontId="63" fillId="0" borderId="3" xfId="0" applyFont="1" applyBorder="1" applyAlignment="1">
      <alignment vertical="center"/>
    </xf>
    <xf numFmtId="0" fontId="79" fillId="67" borderId="89" xfId="0" applyFont="1" applyFill="1" applyBorder="1" applyAlignment="1">
      <alignment horizontal="center" vertical="center" wrapText="1"/>
    </xf>
    <xf numFmtId="0" fontId="56" fillId="0" borderId="3" xfId="0" applyFont="1" applyBorder="1" applyAlignment="1">
      <alignment horizontal="center" vertical="center" wrapText="1"/>
    </xf>
    <xf numFmtId="3" fontId="56" fillId="0" borderId="3" xfId="0" applyNumberFormat="1" applyFont="1" applyBorder="1" applyAlignment="1">
      <alignment horizontal="center" vertical="center" wrapText="1"/>
    </xf>
    <xf numFmtId="0" fontId="61" fillId="67" borderId="89" xfId="0" applyFont="1" applyFill="1" applyBorder="1" applyAlignment="1">
      <alignment horizontal="center" vertical="center"/>
    </xf>
    <xf numFmtId="0" fontId="75" fillId="68" borderId="3" xfId="0" applyFont="1" applyFill="1" applyBorder="1" applyAlignment="1">
      <alignment horizontal="center" vertical="center" wrapText="1"/>
    </xf>
    <xf numFmtId="0" fontId="69" fillId="62" borderId="91" xfId="0" applyFont="1" applyFill="1" applyBorder="1"/>
    <xf numFmtId="0" fontId="69" fillId="62" borderId="88" xfId="0" applyFont="1" applyFill="1" applyBorder="1"/>
    <xf numFmtId="0" fontId="68" fillId="0" borderId="0" xfId="0" applyFont="1"/>
    <xf numFmtId="0" fontId="56" fillId="0" borderId="89" xfId="0" applyFont="1" applyBorder="1"/>
    <xf numFmtId="0" fontId="69" fillId="62" borderId="3" xfId="0" applyFont="1" applyFill="1" applyBorder="1"/>
    <xf numFmtId="0" fontId="69" fillId="62" borderId="87" xfId="0" applyFont="1" applyFill="1" applyBorder="1"/>
    <xf numFmtId="175" fontId="63" fillId="0" borderId="3" xfId="0" applyNumberFormat="1" applyFont="1" applyBorder="1" applyAlignment="1">
      <alignment horizontal="center" vertical="center"/>
    </xf>
    <xf numFmtId="175" fontId="56" fillId="0" borderId="86" xfId="0" applyNumberFormat="1" applyFont="1" applyBorder="1"/>
    <xf numFmtId="0" fontId="81" fillId="0" borderId="86" xfId="0" applyFont="1" applyBorder="1"/>
    <xf numFmtId="0" fontId="77" fillId="45" borderId="0" xfId="0" applyFont="1" applyFill="1" applyAlignment="1">
      <alignment vertical="top"/>
    </xf>
    <xf numFmtId="175" fontId="63" fillId="0" borderId="3" xfId="0" applyNumberFormat="1" applyFont="1" applyFill="1" applyBorder="1"/>
    <xf numFmtId="0" fontId="63" fillId="0" borderId="0" xfId="0" applyFont="1" applyAlignment="1">
      <alignment vertical="center" wrapText="1"/>
    </xf>
    <xf numFmtId="175" fontId="63" fillId="0" borderId="0" xfId="0" applyNumberFormat="1" applyFont="1"/>
    <xf numFmtId="0" fontId="63" fillId="0" borderId="0" xfId="0" applyFont="1" applyAlignment="1">
      <alignment horizontal="left" vertical="center" wrapText="1"/>
    </xf>
    <xf numFmtId="0" fontId="69" fillId="62" borderId="85" xfId="0" applyFont="1" applyFill="1" applyBorder="1" applyAlignment="1">
      <alignment horizontal="left" vertical="top" wrapText="1"/>
    </xf>
    <xf numFmtId="0" fontId="69" fillId="62" borderId="86" xfId="0" applyFont="1" applyFill="1" applyBorder="1" applyAlignment="1">
      <alignment horizontal="left" vertical="top" wrapText="1"/>
    </xf>
    <xf numFmtId="0" fontId="78" fillId="62" borderId="86" xfId="0" applyFont="1" applyFill="1" applyBorder="1"/>
    <xf numFmtId="0" fontId="78" fillId="62" borderId="87" xfId="0" applyFont="1" applyFill="1" applyBorder="1"/>
    <xf numFmtId="189" fontId="63" fillId="0" borderId="0" xfId="0" applyNumberFormat="1" applyFont="1" applyAlignment="1">
      <alignment horizontal="center" wrapText="1"/>
    </xf>
    <xf numFmtId="0" fontId="63" fillId="45" borderId="0" xfId="0" applyFont="1" applyFill="1" applyAlignment="1">
      <alignment horizontal="left" wrapText="1"/>
    </xf>
    <xf numFmtId="0" fontId="63" fillId="0" borderId="3" xfId="0" applyFont="1" applyBorder="1" applyAlignment="1">
      <alignment horizontal="left" vertical="center" wrapText="1"/>
    </xf>
    <xf numFmtId="0" fontId="63" fillId="45" borderId="86" xfId="0" applyFont="1" applyFill="1" applyBorder="1"/>
    <xf numFmtId="0" fontId="63" fillId="45" borderId="0" xfId="0" applyFont="1" applyFill="1" applyAlignment="1">
      <alignment wrapText="1"/>
    </xf>
    <xf numFmtId="0" fontId="69" fillId="62" borderId="94" xfId="0" applyFont="1" applyFill="1" applyBorder="1"/>
    <xf numFmtId="0" fontId="69" fillId="62" borderId="3" xfId="0" applyFont="1" applyFill="1" applyBorder="1" applyAlignment="1">
      <alignment vertical="top" wrapText="1"/>
    </xf>
    <xf numFmtId="0" fontId="69" fillId="62" borderId="99" xfId="0" applyFont="1" applyFill="1" applyBorder="1"/>
    <xf numFmtId="189" fontId="63" fillId="45" borderId="3" xfId="0" applyNumberFormat="1" applyFont="1" applyFill="1" applyBorder="1" applyAlignment="1">
      <alignment horizontal="center"/>
    </xf>
    <xf numFmtId="0" fontId="68" fillId="0" borderId="86" xfId="0" applyFont="1" applyBorder="1"/>
    <xf numFmtId="0" fontId="68" fillId="0" borderId="87" xfId="0" applyFont="1" applyBorder="1"/>
    <xf numFmtId="0" fontId="63" fillId="0" borderId="3" xfId="0" applyFont="1" applyBorder="1" applyAlignment="1">
      <alignment horizontal="center"/>
    </xf>
    <xf numFmtId="0" fontId="63" fillId="0" borderId="86" xfId="0" applyFont="1" applyBorder="1" applyAlignment="1">
      <alignment horizontal="left"/>
    </xf>
    <xf numFmtId="0" fontId="68" fillId="0" borderId="0" xfId="0" applyFont="1" applyAlignment="1">
      <alignment wrapText="1"/>
    </xf>
    <xf numFmtId="0" fontId="56" fillId="0" borderId="0" xfId="0" applyFont="1" applyAlignment="1">
      <alignment horizontal="left" vertical="top"/>
    </xf>
    <xf numFmtId="0" fontId="56" fillId="0" borderId="0" xfId="0" quotePrefix="1" applyFont="1"/>
    <xf numFmtId="0" fontId="56" fillId="67" borderId="87" xfId="0" applyFont="1" applyFill="1" applyBorder="1"/>
    <xf numFmtId="0" fontId="82" fillId="0" borderId="0" xfId="0" applyFont="1" applyAlignment="1">
      <alignment vertical="top"/>
    </xf>
    <xf numFmtId="0" fontId="60" fillId="0" borderId="0" xfId="0" applyFont="1" applyAlignment="1">
      <alignment horizontal="center"/>
    </xf>
    <xf numFmtId="0" fontId="83" fillId="0" borderId="0" xfId="0" applyFont="1"/>
    <xf numFmtId="176" fontId="63" fillId="0" borderId="85" xfId="0" applyNumberFormat="1" applyFont="1" applyBorder="1" applyAlignment="1">
      <alignment horizontal="center"/>
    </xf>
    <xf numFmtId="0" fontId="82" fillId="0" borderId="0" xfId="0" applyFont="1" applyAlignment="1">
      <alignment horizontal="center"/>
    </xf>
    <xf numFmtId="0" fontId="82" fillId="0" borderId="0" xfId="0" applyFont="1" applyAlignment="1">
      <alignment horizontal="left"/>
    </xf>
    <xf numFmtId="0" fontId="82" fillId="0" borderId="0" xfId="0" applyFont="1"/>
    <xf numFmtId="0" fontId="85" fillId="67" borderId="86" xfId="0" applyFont="1" applyFill="1" applyBorder="1" applyAlignment="1">
      <alignment horizontal="center"/>
    </xf>
    <xf numFmtId="0" fontId="85" fillId="67" borderId="87" xfId="0" applyFont="1" applyFill="1" applyBorder="1"/>
    <xf numFmtId="0" fontId="69" fillId="62" borderId="3" xfId="0" applyFont="1" applyFill="1" applyBorder="1" applyAlignment="1">
      <alignment horizontal="left"/>
    </xf>
    <xf numFmtId="0" fontId="69" fillId="62" borderId="85" xfId="0" applyFont="1" applyFill="1" applyBorder="1" applyAlignment="1">
      <alignment horizontal="left"/>
    </xf>
    <xf numFmtId="0" fontId="69" fillId="62" borderId="91" xfId="0" applyFont="1" applyFill="1" applyBorder="1" applyAlignment="1">
      <alignment horizontal="left"/>
    </xf>
    <xf numFmtId="175" fontId="63" fillId="0" borderId="87" xfId="0" applyNumberFormat="1" applyFont="1" applyBorder="1" applyAlignment="1">
      <alignment horizontal="center"/>
    </xf>
    <xf numFmtId="0" fontId="56" fillId="0" borderId="0" xfId="0" applyFont="1" applyAlignment="1">
      <alignment horizontal="left"/>
    </xf>
    <xf numFmtId="0" fontId="69" fillId="62" borderId="89" xfId="0" applyFont="1" applyFill="1" applyBorder="1" applyAlignment="1">
      <alignment horizontal="left"/>
    </xf>
    <xf numFmtId="4" fontId="56" fillId="0" borderId="0" xfId="0" applyNumberFormat="1" applyFont="1"/>
    <xf numFmtId="0" fontId="85" fillId="0" borderId="0" xfId="0" applyFont="1"/>
    <xf numFmtId="0" fontId="69" fillId="0" borderId="100" xfId="0" applyFont="1" applyBorder="1" applyAlignment="1">
      <alignment horizontal="center"/>
    </xf>
    <xf numFmtId="0" fontId="61" fillId="67" borderId="0" xfId="0" applyFont="1" applyFill="1"/>
    <xf numFmtId="0" fontId="69" fillId="62" borderId="3" xfId="0" applyFont="1" applyFill="1" applyBorder="1" applyAlignment="1">
      <alignment vertical="center"/>
    </xf>
    <xf numFmtId="0" fontId="69" fillId="62" borderId="3" xfId="0" applyFont="1" applyFill="1" applyBorder="1" applyAlignment="1">
      <alignment horizontal="center"/>
    </xf>
    <xf numFmtId="2" fontId="63" fillId="0" borderId="0" xfId="0" applyNumberFormat="1" applyFont="1"/>
    <xf numFmtId="2" fontId="63" fillId="62" borderId="3" xfId="0" applyNumberFormat="1" applyFont="1" applyFill="1" applyBorder="1" applyAlignment="1">
      <alignment horizontal="center"/>
    </xf>
    <xf numFmtId="2" fontId="62" fillId="0" borderId="0" xfId="0" applyNumberFormat="1" applyFont="1"/>
    <xf numFmtId="0" fontId="85" fillId="67" borderId="3" xfId="0" applyFont="1" applyFill="1" applyBorder="1"/>
    <xf numFmtId="0" fontId="61" fillId="67" borderId="3" xfId="0" applyFont="1" applyFill="1" applyBorder="1"/>
    <xf numFmtId="2" fontId="61" fillId="67" borderId="3" xfId="0" applyNumberFormat="1" applyFont="1" applyFill="1" applyBorder="1" applyAlignment="1">
      <alignment horizontal="center"/>
    </xf>
    <xf numFmtId="0" fontId="56" fillId="0" borderId="136" xfId="0" applyFont="1" applyBorder="1" applyAlignment="1">
      <alignment horizontal="center"/>
    </xf>
    <xf numFmtId="0" fontId="69" fillId="0" borderId="0" xfId="0" applyFont="1" applyAlignment="1">
      <alignment horizontal="left" wrapText="1"/>
    </xf>
    <xf numFmtId="0" fontId="69" fillId="0" borderId="0" xfId="0" applyFont="1" applyAlignment="1">
      <alignment horizontal="center" vertical="center"/>
    </xf>
    <xf numFmtId="0" fontId="56" fillId="63" borderId="111" xfId="0" applyFont="1" applyFill="1" applyBorder="1" applyAlignment="1">
      <alignment horizontal="left"/>
    </xf>
    <xf numFmtId="0" fontId="56" fillId="0" borderId="107" xfId="0" applyFont="1" applyBorder="1"/>
    <xf numFmtId="0" fontId="56" fillId="0" borderId="108" xfId="0" applyFont="1" applyBorder="1"/>
    <xf numFmtId="0" fontId="56" fillId="0" borderId="109" xfId="0" applyFont="1" applyBorder="1"/>
    <xf numFmtId="0" fontId="56" fillId="0" borderId="115" xfId="0" applyFont="1" applyBorder="1"/>
    <xf numFmtId="0" fontId="56" fillId="0" borderId="116" xfId="0" applyFont="1" applyBorder="1"/>
    <xf numFmtId="0" fontId="67" fillId="0" borderId="115" xfId="62" applyFont="1" applyBorder="1"/>
    <xf numFmtId="0" fontId="67" fillId="0" borderId="0" xfId="62" applyFont="1" applyBorder="1"/>
    <xf numFmtId="0" fontId="56" fillId="0" borderId="110" xfId="0" applyFont="1" applyBorder="1"/>
    <xf numFmtId="0" fontId="56" fillId="0" borderId="102" xfId="0" applyFont="1" applyBorder="1"/>
    <xf numFmtId="0" fontId="56" fillId="0" borderId="103" xfId="0" applyFont="1" applyBorder="1"/>
    <xf numFmtId="0" fontId="69" fillId="63" borderId="100" xfId="0" applyFont="1" applyFill="1" applyBorder="1" applyAlignment="1">
      <alignment horizontal="center"/>
    </xf>
    <xf numFmtId="0" fontId="69" fillId="62" borderId="3" xfId="0" applyFont="1" applyFill="1" applyBorder="1" applyAlignment="1">
      <alignment horizontal="center" vertical="center"/>
    </xf>
    <xf numFmtId="4" fontId="63" fillId="62" borderId="3" xfId="0" applyNumberFormat="1" applyFont="1" applyFill="1" applyBorder="1" applyAlignment="1">
      <alignment horizontal="right" vertical="center"/>
    </xf>
    <xf numFmtId="0" fontId="56" fillId="0" borderId="89" xfId="0" applyFont="1" applyBorder="1" applyAlignment="1">
      <alignment horizontal="center"/>
    </xf>
    <xf numFmtId="4" fontId="63" fillId="62" borderId="89" xfId="0" applyNumberFormat="1" applyFont="1" applyFill="1" applyBorder="1" applyAlignment="1">
      <alignment horizontal="right" vertical="center"/>
    </xf>
    <xf numFmtId="0" fontId="69" fillId="62" borderId="118" xfId="0" applyFont="1" applyFill="1" applyBorder="1" applyAlignment="1">
      <alignment horizontal="right"/>
    </xf>
    <xf numFmtId="0" fontId="69" fillId="62" borderId="119" xfId="0" applyFont="1" applyFill="1" applyBorder="1" applyAlignment="1">
      <alignment horizontal="right"/>
    </xf>
    <xf numFmtId="0" fontId="69" fillId="62" borderId="120" xfId="0" applyFont="1" applyFill="1" applyBorder="1" applyAlignment="1">
      <alignment horizontal="right"/>
    </xf>
    <xf numFmtId="4" fontId="69" fillId="62" borderId="123" xfId="0" applyNumberFormat="1" applyFont="1" applyFill="1" applyBorder="1" applyAlignment="1">
      <alignment horizontal="right"/>
    </xf>
    <xf numFmtId="4" fontId="69" fillId="62" borderId="121" xfId="0" applyNumberFormat="1" applyFont="1" applyFill="1" applyBorder="1" applyAlignment="1">
      <alignment horizontal="right"/>
    </xf>
    <xf numFmtId="0" fontId="56" fillId="62" borderId="85" xfId="0" applyFont="1" applyFill="1" applyBorder="1"/>
    <xf numFmtId="0" fontId="56" fillId="62" borderId="86" xfId="0" applyFont="1" applyFill="1" applyBorder="1"/>
    <xf numFmtId="0" fontId="69" fillId="62" borderId="86" xfId="0" applyFont="1" applyFill="1" applyBorder="1" applyAlignment="1">
      <alignment horizontal="right"/>
    </xf>
    <xf numFmtId="4" fontId="88" fillId="62" borderId="3" xfId="0" applyNumberFormat="1" applyFont="1" applyFill="1" applyBorder="1"/>
    <xf numFmtId="4" fontId="88" fillId="62" borderId="3" xfId="0" applyNumberFormat="1" applyFont="1" applyFill="1" applyBorder="1" applyAlignment="1">
      <alignment horizontal="right"/>
    </xf>
    <xf numFmtId="0" fontId="67" fillId="0" borderId="115" xfId="62" applyFont="1" applyBorder="1" applyAlignment="1"/>
    <xf numFmtId="0" fontId="69" fillId="0" borderId="0" xfId="0" applyFont="1" applyAlignment="1">
      <alignment horizontal="center"/>
    </xf>
    <xf numFmtId="0" fontId="61" fillId="67" borderId="93" xfId="0" applyFont="1" applyFill="1" applyBorder="1"/>
    <xf numFmtId="0" fontId="61" fillId="67" borderId="94" xfId="0" applyFont="1" applyFill="1" applyBorder="1"/>
    <xf numFmtId="0" fontId="69" fillId="62" borderId="89" xfId="0" applyFont="1" applyFill="1" applyBorder="1" applyAlignment="1">
      <alignment horizontal="center" vertical="center"/>
    </xf>
    <xf numFmtId="4" fontId="56" fillId="0" borderId="3" xfId="0" applyNumberFormat="1" applyFont="1" applyBorder="1" applyAlignment="1">
      <alignment horizontal="center"/>
    </xf>
    <xf numFmtId="190" fontId="56" fillId="0" borderId="3" xfId="0" applyNumberFormat="1" applyFont="1" applyBorder="1" applyAlignment="1">
      <alignment horizontal="center"/>
    </xf>
    <xf numFmtId="0" fontId="56" fillId="66" borderId="3" xfId="0" applyFont="1" applyFill="1" applyBorder="1" applyAlignment="1">
      <alignment horizontal="left"/>
    </xf>
    <xf numFmtId="4" fontId="63" fillId="62" borderId="3" xfId="0" applyNumberFormat="1" applyFont="1" applyFill="1" applyBorder="1" applyAlignment="1">
      <alignment horizontal="right"/>
    </xf>
    <xf numFmtId="4" fontId="56" fillId="0" borderId="89" xfId="0" applyNumberFormat="1" applyFont="1" applyBorder="1" applyAlignment="1">
      <alignment horizontal="center"/>
    </xf>
    <xf numFmtId="0" fontId="56" fillId="66" borderId="89" xfId="0" applyFont="1" applyFill="1" applyBorder="1" applyAlignment="1">
      <alignment horizontal="left"/>
    </xf>
    <xf numFmtId="4" fontId="63" fillId="62" borderId="89" xfId="0" applyNumberFormat="1" applyFont="1" applyFill="1" applyBorder="1" applyAlignment="1">
      <alignment horizontal="right"/>
    </xf>
    <xf numFmtId="190" fontId="56" fillId="0" borderId="89" xfId="0" applyNumberFormat="1" applyFont="1" applyBorder="1" applyAlignment="1">
      <alignment horizontal="center"/>
    </xf>
    <xf numFmtId="0" fontId="60" fillId="0" borderId="115" xfId="0" applyFont="1" applyBorder="1"/>
    <xf numFmtId="0" fontId="56" fillId="0" borderId="101" xfId="0" applyFont="1" applyBorder="1"/>
    <xf numFmtId="0" fontId="56" fillId="0" borderId="104" xfId="0" applyFont="1" applyBorder="1" applyAlignment="1">
      <alignment horizontal="right"/>
    </xf>
    <xf numFmtId="0" fontId="56" fillId="0" borderId="105" xfId="0" applyFont="1" applyBorder="1" applyAlignment="1">
      <alignment horizontal="right"/>
    </xf>
    <xf numFmtId="0" fontId="56" fillId="0" borderId="106" xfId="0" applyFont="1" applyBorder="1"/>
    <xf numFmtId="0" fontId="56" fillId="0" borderId="107" xfId="0" applyFont="1" applyBorder="1" applyAlignment="1">
      <alignment horizontal="right"/>
    </xf>
    <xf numFmtId="0" fontId="56" fillId="0" borderId="108" xfId="0" applyFont="1" applyBorder="1" applyAlignment="1">
      <alignment horizontal="right"/>
    </xf>
    <xf numFmtId="0" fontId="56" fillId="0" borderId="0" xfId="0" applyFont="1" applyAlignment="1">
      <alignment horizontal="right"/>
    </xf>
    <xf numFmtId="0" fontId="56" fillId="0" borderId="115" xfId="0" applyFont="1" applyBorder="1" applyAlignment="1">
      <alignment horizontal="left" wrapText="1"/>
    </xf>
    <xf numFmtId="0" fontId="56" fillId="0" borderId="0" xfId="0" applyFont="1" applyAlignment="1">
      <alignment horizontal="left" wrapText="1"/>
    </xf>
    <xf numFmtId="0" fontId="85" fillId="0" borderId="102" xfId="0" applyFont="1" applyBorder="1"/>
    <xf numFmtId="0" fontId="56" fillId="0" borderId="102" xfId="0" applyFont="1" applyBorder="1" applyAlignment="1">
      <alignment horizontal="right"/>
    </xf>
    <xf numFmtId="0" fontId="56" fillId="0" borderId="102" xfId="0" applyFont="1" applyBorder="1" applyAlignment="1">
      <alignment vertical="center"/>
    </xf>
    <xf numFmtId="0" fontId="68" fillId="67" borderId="93" xfId="0" applyFont="1" applyFill="1" applyBorder="1" applyAlignment="1">
      <alignment horizontal="left" vertical="top" wrapText="1"/>
    </xf>
    <xf numFmtId="0" fontId="77" fillId="67" borderId="93" xfId="0" applyFont="1" applyFill="1" applyBorder="1" applyAlignment="1">
      <alignment horizontal="center" vertical="top"/>
    </xf>
    <xf numFmtId="0" fontId="78" fillId="67" borderId="93" xfId="0" applyFont="1" applyFill="1" applyBorder="1"/>
    <xf numFmtId="0" fontId="78" fillId="67" borderId="94" xfId="0" applyFont="1" applyFill="1" applyBorder="1"/>
    <xf numFmtId="0" fontId="69" fillId="62" borderId="3" xfId="0" applyFont="1" applyFill="1" applyBorder="1" applyAlignment="1">
      <alignment horizontal="center" vertical="center" wrapText="1"/>
    </xf>
    <xf numFmtId="0" fontId="63" fillId="43" borderId="3" xfId="45" applyFont="1" applyAlignment="1">
      <alignment horizontal="center" vertical="center"/>
    </xf>
    <xf numFmtId="190" fontId="56" fillId="63" borderId="3" xfId="0" applyNumberFormat="1" applyFont="1" applyFill="1" applyBorder="1" applyAlignment="1">
      <alignment horizontal="center" vertical="center"/>
    </xf>
    <xf numFmtId="0" fontId="56" fillId="63" borderId="85" xfId="0" applyFont="1" applyFill="1" applyBorder="1" applyAlignment="1">
      <alignment horizontal="left"/>
    </xf>
    <xf numFmtId="0" fontId="56" fillId="0" borderId="3" xfId="0" applyFont="1" applyBorder="1" applyAlignment="1">
      <alignment horizontal="center" vertical="center"/>
    </xf>
    <xf numFmtId="0" fontId="63" fillId="43" borderId="89" xfId="45" applyFont="1" applyBorder="1" applyAlignment="1">
      <alignment horizontal="center" vertical="center"/>
    </xf>
    <xf numFmtId="190" fontId="56" fillId="63" borderId="89" xfId="0" applyNumberFormat="1" applyFont="1" applyFill="1" applyBorder="1" applyAlignment="1">
      <alignment horizontal="center" vertical="center"/>
    </xf>
    <xf numFmtId="0" fontId="56" fillId="63" borderId="92" xfId="0" applyFont="1" applyFill="1" applyBorder="1" applyAlignment="1">
      <alignment horizontal="left"/>
    </xf>
    <xf numFmtId="0" fontId="56" fillId="62" borderId="118" xfId="0" applyFont="1" applyFill="1" applyBorder="1"/>
    <xf numFmtId="0" fontId="56" fillId="62" borderId="119" xfId="0" applyFont="1" applyFill="1" applyBorder="1"/>
    <xf numFmtId="0" fontId="56" fillId="62" borderId="119" xfId="0" applyFont="1" applyFill="1" applyBorder="1" applyAlignment="1">
      <alignment horizontal="center"/>
    </xf>
    <xf numFmtId="4" fontId="69" fillId="62" borderId="122" xfId="0" applyNumberFormat="1" applyFont="1" applyFill="1" applyBorder="1" applyAlignment="1">
      <alignment horizontal="right"/>
    </xf>
    <xf numFmtId="0" fontId="66" fillId="0" borderId="0" xfId="128" applyFont="1" applyAlignment="1">
      <alignment horizontal="center" vertical="center"/>
    </xf>
    <xf numFmtId="0" fontId="83" fillId="0" borderId="102" xfId="0" applyFont="1" applyBorder="1"/>
    <xf numFmtId="0" fontId="61" fillId="67" borderId="92" xfId="0" applyFont="1" applyFill="1" applyBorder="1" applyAlignment="1">
      <alignment vertical="top"/>
    </xf>
    <xf numFmtId="0" fontId="77" fillId="67" borderId="93" xfId="0" applyFont="1" applyFill="1" applyBorder="1" applyAlignment="1">
      <alignment vertical="top"/>
    </xf>
    <xf numFmtId="0" fontId="63" fillId="0" borderId="3" xfId="0" applyFont="1" applyBorder="1" applyAlignment="1">
      <alignment horizontal="center" vertical="center"/>
    </xf>
    <xf numFmtId="4" fontId="63" fillId="0" borderId="85" xfId="45" applyNumberFormat="1" applyFont="1" applyFill="1" applyBorder="1" applyAlignment="1">
      <alignment horizontal="center" vertical="center"/>
    </xf>
    <xf numFmtId="175" fontId="56" fillId="63" borderId="3" xfId="0" applyNumberFormat="1" applyFont="1" applyFill="1" applyBorder="1" applyAlignment="1">
      <alignment horizontal="center"/>
    </xf>
    <xf numFmtId="0" fontId="63" fillId="0" borderId="3" xfId="127" applyFont="1" applyFill="1" applyAlignment="1">
      <alignment horizontal="center"/>
    </xf>
    <xf numFmtId="0" fontId="56" fillId="62" borderId="86" xfId="0" applyFont="1" applyFill="1" applyBorder="1" applyAlignment="1">
      <alignment horizontal="center"/>
    </xf>
    <xf numFmtId="0" fontId="69" fillId="62" borderId="87" xfId="0" applyFont="1" applyFill="1" applyBorder="1" applyAlignment="1">
      <alignment horizontal="right"/>
    </xf>
    <xf numFmtId="4" fontId="69" fillId="62" borderId="3" xfId="0" applyNumberFormat="1" applyFont="1" applyFill="1" applyBorder="1" applyAlignment="1">
      <alignment horizontal="right"/>
    </xf>
    <xf numFmtId="4" fontId="69" fillId="62" borderId="87" xfId="0" applyNumberFormat="1" applyFont="1" applyFill="1" applyBorder="1" applyAlignment="1">
      <alignment horizontal="right"/>
    </xf>
    <xf numFmtId="0" fontId="78" fillId="67" borderId="87" xfId="0" applyFont="1" applyFill="1" applyBorder="1"/>
    <xf numFmtId="0" fontId="88" fillId="0" borderId="3" xfId="0" applyFont="1" applyBorder="1" applyAlignment="1">
      <alignment horizontal="center" vertical="center"/>
    </xf>
    <xf numFmtId="2" fontId="63" fillId="62" borderId="3" xfId="0" applyNumberFormat="1" applyFont="1" applyFill="1" applyBorder="1" applyAlignment="1">
      <alignment horizontal="right"/>
    </xf>
    <xf numFmtId="175" fontId="63" fillId="62" borderId="3" xfId="0" applyNumberFormat="1" applyFont="1" applyFill="1" applyBorder="1" applyAlignment="1">
      <alignment horizontal="right"/>
    </xf>
    <xf numFmtId="0" fontId="56" fillId="0" borderId="3" xfId="127" applyFont="1" applyFill="1" applyAlignment="1">
      <alignment horizontal="center"/>
    </xf>
    <xf numFmtId="0" fontId="56" fillId="0" borderId="108" xfId="0" applyFont="1" applyBorder="1" applyAlignment="1">
      <alignment horizontal="center"/>
    </xf>
    <xf numFmtId="0" fontId="56" fillId="0" borderId="116" xfId="0" applyFont="1" applyBorder="1" applyAlignment="1">
      <alignment wrapText="1"/>
    </xf>
    <xf numFmtId="0" fontId="85" fillId="0" borderId="0" xfId="0" applyFont="1" applyAlignment="1">
      <alignment horizontal="center"/>
    </xf>
    <xf numFmtId="0" fontId="85" fillId="0" borderId="116" xfId="0" applyFont="1" applyBorder="1"/>
    <xf numFmtId="0" fontId="85" fillId="0" borderId="115" xfId="0" applyFont="1" applyBorder="1"/>
    <xf numFmtId="0" fontId="85" fillId="0" borderId="102" xfId="0" applyFont="1" applyBorder="1" applyAlignment="1">
      <alignment horizontal="center"/>
    </xf>
    <xf numFmtId="0" fontId="85" fillId="0" borderId="103" xfId="0" applyFont="1" applyBorder="1"/>
    <xf numFmtId="0" fontId="56" fillId="67" borderId="0" xfId="0" applyFont="1" applyFill="1"/>
    <xf numFmtId="0" fontId="68" fillId="67" borderId="93" xfId="0" applyFont="1" applyFill="1" applyBorder="1" applyAlignment="1">
      <alignment horizontal="center" vertical="top" wrapText="1"/>
    </xf>
    <xf numFmtId="4" fontId="69" fillId="62" borderId="89" xfId="0" applyNumberFormat="1" applyFont="1" applyFill="1" applyBorder="1" applyAlignment="1">
      <alignment horizontal="center" vertical="center"/>
    </xf>
    <xf numFmtId="175" fontId="56" fillId="63" borderId="3" xfId="0" applyNumberFormat="1" applyFont="1" applyFill="1" applyBorder="1" applyAlignment="1">
      <alignment horizontal="center" vertical="center"/>
    </xf>
    <xf numFmtId="0" fontId="63" fillId="0" borderId="0" xfId="0" applyFont="1" applyAlignment="1">
      <alignment horizontal="center"/>
    </xf>
    <xf numFmtId="0" fontId="85" fillId="0" borderId="108" xfId="0" applyFont="1" applyBorder="1"/>
    <xf numFmtId="0" fontId="85" fillId="0" borderId="108" xfId="0" applyFont="1" applyBorder="1" applyAlignment="1">
      <alignment horizontal="center"/>
    </xf>
    <xf numFmtId="0" fontId="85" fillId="0" borderId="109" xfId="0" applyFont="1" applyBorder="1"/>
    <xf numFmtId="0" fontId="63" fillId="0" borderId="102" xfId="0" applyFont="1" applyBorder="1"/>
    <xf numFmtId="0" fontId="63" fillId="0" borderId="0" xfId="0" applyFont="1" applyAlignment="1">
      <alignment horizontal="center" wrapText="1"/>
    </xf>
    <xf numFmtId="0" fontId="61" fillId="67" borderId="93" xfId="0" applyFont="1" applyFill="1" applyBorder="1" applyAlignment="1">
      <alignment horizontal="center"/>
    </xf>
    <xf numFmtId="0" fontId="56" fillId="0" borderId="3" xfId="127" applyFont="1" applyFill="1" applyAlignment="1">
      <alignment horizontal="center" vertical="center"/>
    </xf>
    <xf numFmtId="4" fontId="63" fillId="0" borderId="3" xfId="45" applyNumberFormat="1" applyFont="1" applyFill="1" applyAlignment="1">
      <alignment horizontal="center" vertical="center"/>
    </xf>
    <xf numFmtId="4" fontId="56" fillId="63" borderId="3" xfId="0" applyNumberFormat="1" applyFont="1" applyFill="1" applyBorder="1" applyAlignment="1">
      <alignment horizontal="center"/>
    </xf>
    <xf numFmtId="175" fontId="63" fillId="63" borderId="3" xfId="45" applyNumberFormat="1" applyFont="1" applyFill="1" applyAlignment="1">
      <alignment horizontal="center" vertical="center"/>
    </xf>
    <xf numFmtId="4" fontId="63" fillId="0" borderId="89" xfId="45" applyNumberFormat="1" applyFont="1" applyFill="1" applyBorder="1" applyAlignment="1">
      <alignment horizontal="center" vertical="center"/>
    </xf>
    <xf numFmtId="4" fontId="63" fillId="0" borderId="92" xfId="45" applyNumberFormat="1" applyFont="1" applyFill="1" applyBorder="1" applyAlignment="1">
      <alignment horizontal="center" vertical="center"/>
    </xf>
    <xf numFmtId="4" fontId="56" fillId="63" borderId="89" xfId="0" applyNumberFormat="1" applyFont="1" applyFill="1" applyBorder="1" applyAlignment="1">
      <alignment horizontal="center"/>
    </xf>
    <xf numFmtId="0" fontId="56" fillId="62" borderId="97" xfId="0" applyFont="1" applyFill="1" applyBorder="1"/>
    <xf numFmtId="0" fontId="56" fillId="62" borderId="98" xfId="0" applyFont="1" applyFill="1" applyBorder="1"/>
    <xf numFmtId="4" fontId="69" fillId="62" borderId="86" xfId="0" applyNumberFormat="1" applyFont="1" applyFill="1" applyBorder="1" applyAlignment="1">
      <alignment horizontal="right"/>
    </xf>
    <xf numFmtId="0" fontId="64" fillId="67" borderId="98" xfId="0" applyFont="1" applyFill="1" applyBorder="1"/>
    <xf numFmtId="0" fontId="63" fillId="0" borderId="87" xfId="45" applyFont="1" applyFill="1" applyBorder="1" applyAlignment="1">
      <alignment horizontal="left" vertical="center"/>
    </xf>
    <xf numFmtId="0" fontId="56" fillId="63" borderId="85" xfId="127" applyFont="1" applyFill="1" applyBorder="1" applyAlignment="1">
      <alignment horizontal="left" vertical="center"/>
    </xf>
    <xf numFmtId="0" fontId="56" fillId="63" borderId="86" xfId="127" applyFont="1" applyFill="1" applyBorder="1" applyAlignment="1">
      <alignment horizontal="center" vertical="center"/>
    </xf>
    <xf numFmtId="0" fontId="56" fillId="63" borderId="87" xfId="127" applyFont="1" applyFill="1" applyBorder="1" applyAlignment="1">
      <alignment horizontal="center" vertical="center"/>
    </xf>
    <xf numFmtId="0" fontId="63" fillId="0" borderId="94" xfId="45" applyFont="1" applyFill="1" applyBorder="1" applyAlignment="1">
      <alignment horizontal="left" vertical="center"/>
    </xf>
    <xf numFmtId="0" fontId="56" fillId="63" borderId="93" xfId="127" applyFont="1" applyFill="1" applyBorder="1" applyAlignment="1">
      <alignment horizontal="center" vertical="center"/>
    </xf>
    <xf numFmtId="0" fontId="56" fillId="63" borderId="94" xfId="127" applyFont="1" applyFill="1" applyBorder="1" applyAlignment="1">
      <alignment horizontal="center" vertical="center"/>
    </xf>
    <xf numFmtId="0" fontId="69" fillId="0" borderId="0" xfId="0" applyFont="1" applyAlignment="1">
      <alignment horizontal="right"/>
    </xf>
    <xf numFmtId="4" fontId="69" fillId="0" borderId="0" xfId="0" applyNumberFormat="1" applyFont="1" applyAlignment="1">
      <alignment horizontal="right"/>
    </xf>
    <xf numFmtId="0" fontId="64" fillId="67" borderId="87" xfId="0" applyFont="1" applyFill="1" applyBorder="1"/>
    <xf numFmtId="0" fontId="61" fillId="67" borderId="86" xfId="0" applyFont="1" applyFill="1" applyBorder="1" applyAlignment="1">
      <alignment horizontal="center"/>
    </xf>
    <xf numFmtId="0" fontId="56" fillId="67" borderId="93" xfId="0" applyFont="1" applyFill="1" applyBorder="1"/>
    <xf numFmtId="0" fontId="56" fillId="63" borderId="86" xfId="0" applyFont="1" applyFill="1" applyBorder="1"/>
    <xf numFmtId="0" fontId="56" fillId="63" borderId="87" xfId="0" applyFont="1" applyFill="1" applyBorder="1"/>
    <xf numFmtId="0" fontId="56" fillId="62" borderId="98" xfId="0" applyFont="1" applyFill="1" applyBorder="1" applyAlignment="1">
      <alignment horizontal="center"/>
    </xf>
    <xf numFmtId="0" fontId="69" fillId="62" borderId="99" xfId="0" applyFont="1" applyFill="1" applyBorder="1" applyAlignment="1">
      <alignment horizontal="right"/>
    </xf>
    <xf numFmtId="175" fontId="56" fillId="63" borderId="3" xfId="127" applyNumberFormat="1" applyFont="1" applyFill="1" applyAlignment="1">
      <alignment horizontal="center" vertical="center"/>
    </xf>
    <xf numFmtId="0" fontId="61" fillId="67" borderId="96" xfId="0" applyFont="1" applyFill="1" applyBorder="1"/>
    <xf numFmtId="0" fontId="61" fillId="67" borderId="0" xfId="0" applyFont="1" applyFill="1" applyAlignment="1">
      <alignment horizontal="center"/>
    </xf>
    <xf numFmtId="175" fontId="63" fillId="63" borderId="85" xfId="45" applyNumberFormat="1" applyFont="1" applyFill="1" applyBorder="1" applyAlignment="1">
      <alignment horizontal="center" vertical="center"/>
    </xf>
    <xf numFmtId="0" fontId="69" fillId="0" borderId="0" xfId="0" applyFont="1" applyAlignment="1">
      <alignment vertical="center"/>
    </xf>
    <xf numFmtId="0" fontId="69" fillId="62" borderId="94" xfId="0" applyFont="1" applyFill="1" applyBorder="1" applyAlignment="1">
      <alignment horizontal="center" vertical="center"/>
    </xf>
    <xf numFmtId="0" fontId="56" fillId="62" borderId="124" xfId="0" applyFont="1" applyFill="1" applyBorder="1"/>
    <xf numFmtId="0" fontId="56" fillId="62" borderId="125" xfId="0" applyFont="1" applyFill="1" applyBorder="1"/>
    <xf numFmtId="0" fontId="56" fillId="62" borderId="125" xfId="0" applyFont="1" applyFill="1" applyBorder="1" applyAlignment="1">
      <alignment horizontal="center"/>
    </xf>
    <xf numFmtId="0" fontId="69" fillId="62" borderId="126" xfId="0" applyFont="1" applyFill="1" applyBorder="1" applyAlignment="1">
      <alignment horizontal="right"/>
    </xf>
    <xf numFmtId="0" fontId="56" fillId="62" borderId="129" xfId="0" applyFont="1" applyFill="1" applyBorder="1"/>
    <xf numFmtId="0" fontId="56" fillId="62" borderId="130" xfId="0" applyFont="1" applyFill="1" applyBorder="1"/>
    <xf numFmtId="0" fontId="56" fillId="62" borderId="130" xfId="0" applyFont="1" applyFill="1" applyBorder="1" applyAlignment="1">
      <alignment horizontal="center"/>
    </xf>
    <xf numFmtId="0" fontId="69" fillId="62" borderId="131" xfId="0" applyFont="1" applyFill="1" applyBorder="1" applyAlignment="1">
      <alignment horizontal="right"/>
    </xf>
    <xf numFmtId="0" fontId="90" fillId="0" borderId="0" xfId="0" applyFont="1"/>
    <xf numFmtId="0" fontId="90" fillId="0" borderId="102" xfId="0" applyFont="1" applyBorder="1"/>
    <xf numFmtId="0" fontId="85" fillId="67" borderId="93" xfId="0" applyFont="1" applyFill="1" applyBorder="1" applyAlignment="1">
      <alignment horizontal="center"/>
    </xf>
    <xf numFmtId="0" fontId="85" fillId="67" borderId="93" xfId="0" applyFont="1" applyFill="1" applyBorder="1"/>
    <xf numFmtId="0" fontId="85" fillId="67" borderId="94" xfId="0" applyFont="1" applyFill="1" applyBorder="1"/>
    <xf numFmtId="4" fontId="56" fillId="0" borderId="3" xfId="127" applyNumberFormat="1" applyFont="1" applyFill="1" applyAlignment="1">
      <alignment horizontal="center" vertical="center"/>
    </xf>
    <xf numFmtId="175" fontId="63" fillId="0" borderId="3" xfId="45" applyNumberFormat="1" applyFont="1" applyFill="1" applyAlignment="1">
      <alignment horizontal="center" vertical="center"/>
    </xf>
    <xf numFmtId="0" fontId="56" fillId="63" borderId="3" xfId="127" applyFont="1" applyFill="1" applyAlignment="1">
      <alignment horizontal="left" vertical="center"/>
    </xf>
    <xf numFmtId="0" fontId="56" fillId="0" borderId="89" xfId="127" applyFont="1" applyFill="1" applyBorder="1" applyAlignment="1">
      <alignment horizontal="center" vertical="center"/>
    </xf>
    <xf numFmtId="4" fontId="56" fillId="0" borderId="89" xfId="127" applyNumberFormat="1" applyFont="1" applyFill="1" applyBorder="1" applyAlignment="1">
      <alignment horizontal="center" vertical="center"/>
    </xf>
    <xf numFmtId="175" fontId="63" fillId="63" borderId="89" xfId="45" applyNumberFormat="1" applyFont="1" applyFill="1" applyBorder="1" applyAlignment="1">
      <alignment horizontal="center" vertical="center"/>
    </xf>
    <xf numFmtId="175" fontId="63" fillId="0" borderId="89" xfId="45" applyNumberFormat="1" applyFont="1" applyFill="1" applyBorder="1" applyAlignment="1">
      <alignment horizontal="center" vertical="center"/>
    </xf>
    <xf numFmtId="0" fontId="56" fillId="63" borderId="89" xfId="127" applyFont="1" applyFill="1" applyBorder="1" applyAlignment="1">
      <alignment horizontal="left" vertical="center"/>
    </xf>
    <xf numFmtId="4" fontId="69" fillId="62" borderId="120" xfId="0" applyNumberFormat="1" applyFont="1" applyFill="1" applyBorder="1" applyAlignment="1">
      <alignment horizontal="right"/>
    </xf>
    <xf numFmtId="0" fontId="63" fillId="0" borderId="115" xfId="0" applyFont="1" applyBorder="1"/>
    <xf numFmtId="0" fontId="90" fillId="0" borderId="0" xfId="0" applyFont="1" applyAlignment="1">
      <alignment wrapText="1"/>
    </xf>
    <xf numFmtId="0" fontId="64" fillId="0" borderId="102" xfId="0" applyFont="1" applyBorder="1"/>
    <xf numFmtId="0" fontId="90" fillId="0" borderId="102" xfId="0" applyFont="1" applyBorder="1" applyAlignment="1">
      <alignment wrapText="1"/>
    </xf>
    <xf numFmtId="0" fontId="63" fillId="0" borderId="3" xfId="45" applyFont="1" applyFill="1" applyAlignment="1">
      <alignment horizontal="center" vertical="center"/>
    </xf>
    <xf numFmtId="0" fontId="56" fillId="0" borderId="89" xfId="0" applyFont="1" applyBorder="1" applyAlignment="1">
      <alignment horizontal="center" vertical="center"/>
    </xf>
    <xf numFmtId="0" fontId="64" fillId="0" borderId="0" xfId="0" applyFont="1" applyAlignment="1">
      <alignment horizontal="center" vertical="center"/>
    </xf>
    <xf numFmtId="2" fontId="56" fillId="0" borderId="3" xfId="127" applyNumberFormat="1" applyFont="1" applyFill="1" applyAlignment="1">
      <alignment horizontal="center" vertical="center"/>
    </xf>
    <xf numFmtId="0" fontId="56" fillId="6" borderId="3" xfId="127" applyFont="1" applyAlignment="1">
      <alignment horizontal="center" vertical="center"/>
    </xf>
    <xf numFmtId="0" fontId="56" fillId="6" borderId="3" xfId="127" applyFont="1" applyAlignment="1">
      <alignment horizontal="left" vertical="center"/>
    </xf>
    <xf numFmtId="4" fontId="56" fillId="62" borderId="3" xfId="0" applyNumberFormat="1" applyFont="1" applyFill="1" applyBorder="1" applyAlignment="1">
      <alignment horizontal="right" vertical="center"/>
    </xf>
    <xf numFmtId="2" fontId="56" fillId="0" borderId="89" xfId="127" applyNumberFormat="1" applyFont="1" applyFill="1" applyBorder="1" applyAlignment="1">
      <alignment horizontal="center" vertical="center"/>
    </xf>
    <xf numFmtId="4" fontId="56" fillId="62" borderId="89" xfId="0" applyNumberFormat="1" applyFont="1" applyFill="1" applyBorder="1" applyAlignment="1">
      <alignment horizontal="right" vertical="center"/>
    </xf>
    <xf numFmtId="0" fontId="64" fillId="0" borderId="0" xfId="0" applyFont="1" applyAlignment="1">
      <alignment horizontal="left" wrapText="1"/>
    </xf>
    <xf numFmtId="0" fontId="63" fillId="0" borderId="116" xfId="0" applyFont="1" applyBorder="1"/>
    <xf numFmtId="0" fontId="62" fillId="0" borderId="115" xfId="0" applyFont="1" applyBorder="1"/>
    <xf numFmtId="0" fontId="64" fillId="0" borderId="116" xfId="0" applyFont="1" applyBorder="1"/>
    <xf numFmtId="0" fontId="64" fillId="0" borderId="103" xfId="0" applyFont="1" applyBorder="1"/>
    <xf numFmtId="0" fontId="69" fillId="62" borderId="89" xfId="0" applyFont="1" applyFill="1" applyBorder="1" applyAlignment="1">
      <alignment horizontal="center" vertical="center" wrapText="1"/>
    </xf>
    <xf numFmtId="0" fontId="69" fillId="62" borderId="91" xfId="0" applyFont="1" applyFill="1" applyBorder="1" applyAlignment="1">
      <alignment horizontal="center" vertical="center" wrapText="1"/>
    </xf>
    <xf numFmtId="0" fontId="69" fillId="62" borderId="90" xfId="0" applyFont="1" applyFill="1" applyBorder="1" applyAlignment="1">
      <alignment horizontal="center" vertical="center" wrapText="1"/>
    </xf>
    <xf numFmtId="175" fontId="56" fillId="0" borderId="3" xfId="127" applyNumberFormat="1" applyFont="1" applyFill="1" applyAlignment="1">
      <alignment horizontal="center" vertical="center"/>
    </xf>
    <xf numFmtId="0" fontId="56" fillId="63" borderId="3" xfId="127" applyFont="1" applyFill="1" applyAlignment="1">
      <alignment horizontal="center" vertical="center"/>
    </xf>
    <xf numFmtId="175" fontId="56" fillId="0" borderId="89" xfId="127" applyNumberFormat="1" applyFont="1" applyFill="1" applyBorder="1" applyAlignment="1">
      <alignment horizontal="center" vertical="center"/>
    </xf>
    <xf numFmtId="0" fontId="56" fillId="63" borderId="89" xfId="127" applyFont="1" applyFill="1" applyBorder="1" applyAlignment="1">
      <alignment horizontal="center" vertical="center"/>
    </xf>
    <xf numFmtId="0" fontId="91" fillId="0" borderId="0" xfId="0" applyFont="1" applyAlignment="1">
      <alignment horizontal="left" vertical="top"/>
    </xf>
    <xf numFmtId="0" fontId="63" fillId="0" borderId="0" xfId="0" applyFont="1" applyAlignment="1">
      <alignment wrapText="1"/>
    </xf>
    <xf numFmtId="0" fontId="56" fillId="0" borderId="108" xfId="0" applyFont="1" applyBorder="1" applyAlignment="1">
      <alignment wrapText="1"/>
    </xf>
    <xf numFmtId="0" fontId="63" fillId="0" borderId="116" xfId="0" applyFont="1" applyBorder="1" applyAlignment="1">
      <alignment horizontal="left" wrapText="1"/>
    </xf>
    <xf numFmtId="0" fontId="64" fillId="0" borderId="116" xfId="0" applyFont="1" applyBorder="1" applyAlignment="1">
      <alignment horizontal="left" wrapText="1"/>
    </xf>
    <xf numFmtId="0" fontId="61" fillId="0" borderId="0" xfId="0" applyFont="1"/>
    <xf numFmtId="0" fontId="61" fillId="67" borderId="97" xfId="0" applyFont="1" applyFill="1" applyBorder="1"/>
    <xf numFmtId="0" fontId="61" fillId="67" borderId="98" xfId="0" applyFont="1" applyFill="1" applyBorder="1"/>
    <xf numFmtId="0" fontId="61" fillId="67" borderId="99" xfId="0" applyFont="1" applyFill="1" applyBorder="1"/>
    <xf numFmtId="4" fontId="56" fillId="0" borderId="3" xfId="127" applyNumberFormat="1" applyFont="1" applyFill="1" applyAlignment="1">
      <alignment horizontal="center"/>
    </xf>
    <xf numFmtId="191" fontId="56" fillId="6" borderId="3" xfId="127" applyNumberFormat="1" applyFont="1" applyAlignment="1">
      <alignment horizontal="center"/>
    </xf>
    <xf numFmtId="190" fontId="63" fillId="0" borderId="3" xfId="45" applyNumberFormat="1" applyFont="1" applyFill="1" applyAlignment="1">
      <alignment horizontal="center" vertical="center"/>
    </xf>
    <xf numFmtId="190" fontId="63" fillId="63" borderId="3" xfId="45" applyNumberFormat="1" applyFont="1" applyFill="1" applyAlignment="1">
      <alignment horizontal="left" vertical="center"/>
    </xf>
    <xf numFmtId="0" fontId="56" fillId="6" borderId="3" xfId="127" applyFont="1" applyAlignment="1">
      <alignment horizontal="left"/>
    </xf>
    <xf numFmtId="0" fontId="56" fillId="62" borderId="3" xfId="0" applyFont="1" applyFill="1" applyBorder="1" applyAlignment="1">
      <alignment horizontal="right"/>
    </xf>
    <xf numFmtId="190" fontId="56" fillId="6" borderId="3" xfId="127" applyNumberFormat="1" applyFont="1" applyAlignment="1">
      <alignment horizontal="center"/>
    </xf>
    <xf numFmtId="190" fontId="63" fillId="62" borderId="3" xfId="0" applyNumberFormat="1" applyFont="1" applyFill="1" applyBorder="1" applyAlignment="1">
      <alignment horizontal="right"/>
    </xf>
    <xf numFmtId="0" fontId="56" fillId="0" borderId="89" xfId="127" applyFont="1" applyFill="1" applyBorder="1" applyAlignment="1">
      <alignment horizontal="center"/>
    </xf>
    <xf numFmtId="4" fontId="56" fillId="0" borderId="89" xfId="127" applyNumberFormat="1" applyFont="1" applyFill="1" applyBorder="1" applyAlignment="1">
      <alignment horizontal="center"/>
    </xf>
    <xf numFmtId="191" fontId="56" fillId="6" borderId="89" xfId="127" applyNumberFormat="1" applyFont="1" applyBorder="1" applyAlignment="1">
      <alignment horizontal="center"/>
    </xf>
    <xf numFmtId="190" fontId="63" fillId="0" borderId="89" xfId="45" applyNumberFormat="1" applyFont="1" applyFill="1" applyBorder="1" applyAlignment="1">
      <alignment horizontal="center" vertical="center"/>
    </xf>
    <xf numFmtId="0" fontId="56" fillId="6" borderId="89" xfId="127" applyFont="1" applyBorder="1" applyAlignment="1">
      <alignment horizontal="left"/>
    </xf>
    <xf numFmtId="4" fontId="69" fillId="62" borderId="135" xfId="0" applyNumberFormat="1" applyFont="1" applyFill="1" applyBorder="1" applyAlignment="1">
      <alignment horizontal="right"/>
    </xf>
    <xf numFmtId="4" fontId="88" fillId="0" borderId="0" xfId="0" applyNumberFormat="1" applyFont="1"/>
    <xf numFmtId="4" fontId="88" fillId="0" borderId="0" xfId="0" applyNumberFormat="1" applyFont="1" applyAlignment="1">
      <alignment horizontal="right"/>
    </xf>
    <xf numFmtId="0" fontId="92" fillId="62" borderId="85" xfId="0" applyFont="1" applyFill="1" applyBorder="1"/>
    <xf numFmtId="0" fontId="92" fillId="62" borderId="86" xfId="0" applyFont="1" applyFill="1" applyBorder="1"/>
    <xf numFmtId="0" fontId="92" fillId="62" borderId="86" xfId="0" applyFont="1" applyFill="1" applyBorder="1" applyAlignment="1">
      <alignment horizontal="right"/>
    </xf>
    <xf numFmtId="0" fontId="64" fillId="0" borderId="0" xfId="0" applyFont="1" applyAlignment="1">
      <alignment horizontal="center"/>
    </xf>
    <xf numFmtId="0" fontId="64" fillId="0" borderId="0" xfId="0" applyFont="1" applyAlignment="1">
      <alignment wrapText="1"/>
    </xf>
    <xf numFmtId="0" fontId="56" fillId="0" borderId="108" xfId="0" applyFont="1" applyBorder="1" applyAlignment="1">
      <alignment vertical="center"/>
    </xf>
    <xf numFmtId="0" fontId="56" fillId="0" borderId="109" xfId="0" applyFont="1" applyBorder="1" applyAlignment="1">
      <alignment vertical="center"/>
    </xf>
    <xf numFmtId="0" fontId="56" fillId="0" borderId="116" xfId="0" applyFont="1" applyBorder="1" applyAlignment="1">
      <alignment vertical="center"/>
    </xf>
    <xf numFmtId="0" fontId="56" fillId="0" borderId="103" xfId="0" applyFont="1" applyBorder="1" applyAlignment="1">
      <alignment vertical="center"/>
    </xf>
    <xf numFmtId="0" fontId="56" fillId="0" borderId="0" xfId="127" applyFont="1" applyFill="1" applyBorder="1"/>
    <xf numFmtId="0" fontId="69" fillId="62" borderId="85" xfId="0" applyFont="1" applyFill="1" applyBorder="1" applyAlignment="1">
      <alignment horizontal="center" vertical="center"/>
    </xf>
    <xf numFmtId="0" fontId="94" fillId="0" borderId="0" xfId="0" applyFont="1"/>
    <xf numFmtId="0" fontId="56" fillId="0" borderId="85" xfId="127" applyFont="1" applyFill="1" applyBorder="1" applyAlignment="1">
      <alignment horizontal="center"/>
    </xf>
    <xf numFmtId="0" fontId="56" fillId="0" borderId="0" xfId="127" applyFont="1" applyFill="1" applyBorder="1" applyAlignment="1">
      <alignment horizontal="center"/>
    </xf>
    <xf numFmtId="0" fontId="56" fillId="0" borderId="0" xfId="127" applyFont="1" applyFill="1" applyBorder="1" applyAlignment="1">
      <alignment horizontal="left"/>
    </xf>
    <xf numFmtId="0" fontId="56" fillId="0" borderId="3" xfId="127" applyFont="1" applyFill="1" applyBorder="1" applyAlignment="1">
      <alignment horizontal="center"/>
    </xf>
    <xf numFmtId="0" fontId="56" fillId="0" borderId="97" xfId="127" applyFont="1" applyFill="1" applyBorder="1" applyAlignment="1">
      <alignment horizontal="left"/>
    </xf>
    <xf numFmtId="0" fontId="56" fillId="0" borderId="98" xfId="127" applyFont="1" applyFill="1" applyBorder="1" applyAlignment="1">
      <alignment horizontal="left"/>
    </xf>
    <xf numFmtId="0" fontId="64" fillId="0" borderId="98" xfId="0" applyFont="1" applyBorder="1"/>
    <xf numFmtId="0" fontId="56" fillId="0" borderId="99" xfId="0" applyFont="1" applyBorder="1"/>
    <xf numFmtId="0" fontId="56" fillId="0" borderId="85" xfId="127" applyFont="1" applyFill="1" applyBorder="1" applyAlignment="1">
      <alignment horizontal="left"/>
    </xf>
    <xf numFmtId="0" fontId="56" fillId="0" borderId="86" xfId="127" applyFont="1" applyFill="1" applyBorder="1" applyAlignment="1">
      <alignment horizontal="left"/>
    </xf>
    <xf numFmtId="0" fontId="64" fillId="0" borderId="86" xfId="0" applyFont="1" applyBorder="1"/>
    <xf numFmtId="0" fontId="69" fillId="62" borderId="90" xfId="0" applyFont="1" applyFill="1" applyBorder="1" applyAlignment="1">
      <alignment vertical="center"/>
    </xf>
    <xf numFmtId="0" fontId="64" fillId="0" borderId="0" xfId="0" applyFont="1" applyAlignment="1">
      <alignment horizontal="left" vertical="top"/>
    </xf>
    <xf numFmtId="0" fontId="67" fillId="61" borderId="3" xfId="62" applyFont="1" applyFill="1" applyBorder="1" applyAlignment="1">
      <alignment horizontal="left" vertical="top"/>
    </xf>
    <xf numFmtId="0" fontId="56" fillId="61" borderId="3" xfId="0" applyFont="1" applyFill="1" applyBorder="1" applyAlignment="1">
      <alignment horizontal="left" vertical="top"/>
    </xf>
    <xf numFmtId="0" fontId="67" fillId="61" borderId="3" xfId="62" applyFont="1" applyFill="1" applyBorder="1"/>
    <xf numFmtId="0" fontId="56" fillId="61" borderId="3" xfId="0" applyFont="1" applyFill="1" applyBorder="1"/>
    <xf numFmtId="0" fontId="63" fillId="61" borderId="3" xfId="0" applyFont="1" applyFill="1" applyBorder="1" applyAlignment="1">
      <alignment horizontal="left" vertical="top"/>
    </xf>
    <xf numFmtId="0" fontId="67" fillId="0" borderId="0" xfId="62" applyFont="1" applyFill="1"/>
    <xf numFmtId="0" fontId="60" fillId="55" borderId="3" xfId="0" applyFont="1" applyFill="1" applyBorder="1"/>
    <xf numFmtId="0" fontId="60" fillId="0" borderId="0" xfId="0" applyFont="1" applyAlignment="1">
      <alignment horizontal="left" vertical="top"/>
    </xf>
    <xf numFmtId="0" fontId="67" fillId="55" borderId="3" xfId="62" applyFont="1" applyFill="1" applyBorder="1" applyAlignment="1">
      <alignment horizontal="left" vertical="top"/>
    </xf>
    <xf numFmtId="0" fontId="56" fillId="55" borderId="3" xfId="0" applyFont="1" applyFill="1" applyBorder="1" applyAlignment="1">
      <alignment horizontal="left" vertical="top"/>
    </xf>
    <xf numFmtId="0" fontId="67" fillId="0" borderId="0" xfId="62" applyFont="1" applyFill="1" applyAlignment="1">
      <alignment horizontal="left" vertical="top"/>
    </xf>
    <xf numFmtId="0" fontId="60" fillId="57" borderId="3" xfId="0" applyFont="1" applyFill="1" applyBorder="1"/>
    <xf numFmtId="0" fontId="67" fillId="57" borderId="3" xfId="62" applyFont="1" applyFill="1" applyBorder="1" applyAlignment="1">
      <alignment horizontal="left" vertical="top"/>
    </xf>
    <xf numFmtId="0" fontId="56" fillId="57" borderId="3" xfId="0" applyFont="1" applyFill="1" applyBorder="1" applyAlignment="1">
      <alignment horizontal="left" vertical="top"/>
    </xf>
    <xf numFmtId="0" fontId="60" fillId="56" borderId="3" xfId="0" applyFont="1" applyFill="1" applyBorder="1"/>
    <xf numFmtId="0" fontId="67" fillId="56" borderId="3" xfId="62" applyFont="1" applyFill="1" applyBorder="1" applyAlignment="1">
      <alignment horizontal="left" vertical="top"/>
    </xf>
    <xf numFmtId="0" fontId="56" fillId="56" borderId="3" xfId="0" applyFont="1" applyFill="1" applyBorder="1" applyAlignment="1">
      <alignment horizontal="left" vertical="top"/>
    </xf>
    <xf numFmtId="0" fontId="60" fillId="67" borderId="3" xfId="0" applyFont="1" applyFill="1" applyBorder="1"/>
    <xf numFmtId="0" fontId="67" fillId="67" borderId="3" xfId="62" applyFont="1" applyFill="1" applyBorder="1" applyAlignment="1">
      <alignment horizontal="left" vertical="top"/>
    </xf>
    <xf numFmtId="0" fontId="56" fillId="67" borderId="3" xfId="0" applyFont="1" applyFill="1" applyBorder="1" applyAlignment="1">
      <alignment horizontal="left" vertical="top"/>
    </xf>
    <xf numFmtId="0" fontId="67" fillId="0" borderId="0" xfId="62" applyFont="1" applyFill="1" applyBorder="1" applyAlignment="1">
      <alignment horizontal="left" vertical="top"/>
    </xf>
    <xf numFmtId="0" fontId="60" fillId="51" borderId="3" xfId="0" applyFont="1" applyFill="1" applyBorder="1"/>
    <xf numFmtId="0" fontId="67" fillId="51" borderId="3" xfId="62" applyFont="1" applyFill="1" applyBorder="1" applyAlignment="1">
      <alignment horizontal="left" vertical="top"/>
    </xf>
    <xf numFmtId="0" fontId="56" fillId="51" borderId="3" xfId="0" applyFont="1" applyFill="1" applyBorder="1" applyAlignment="1">
      <alignment horizontal="left" vertical="top"/>
    </xf>
    <xf numFmtId="0" fontId="67" fillId="53" borderId="3" xfId="62" applyFont="1" applyFill="1" applyBorder="1"/>
    <xf numFmtId="0" fontId="56" fillId="53" borderId="3" xfId="0" applyFont="1" applyFill="1" applyBorder="1" applyAlignment="1">
      <alignment horizontal="left" vertical="top"/>
    </xf>
    <xf numFmtId="175" fontId="69" fillId="62" borderId="3" xfId="0" applyNumberFormat="1" applyFont="1" applyFill="1" applyBorder="1" applyAlignment="1">
      <alignment horizontal="center"/>
    </xf>
    <xf numFmtId="0" fontId="69" fillId="0" borderId="100" xfId="0" applyFont="1" applyBorder="1" applyAlignment="1">
      <alignment horizontal="left"/>
    </xf>
    <xf numFmtId="0" fontId="56" fillId="0" borderId="100" xfId="0" applyFont="1" applyBorder="1" applyAlignment="1"/>
    <xf numFmtId="0" fontId="63" fillId="70" borderId="3" xfId="45" applyFont="1" applyFill="1" applyAlignment="1">
      <alignment horizontal="center" vertical="center"/>
    </xf>
    <xf numFmtId="0" fontId="56" fillId="53" borderId="3" xfId="0" applyFont="1" applyFill="1" applyBorder="1"/>
    <xf numFmtId="0" fontId="95" fillId="0" borderId="0" xfId="0" applyFont="1"/>
    <xf numFmtId="0" fontId="56" fillId="67" borderId="3" xfId="0" applyFont="1" applyFill="1" applyBorder="1"/>
    <xf numFmtId="0" fontId="77" fillId="67" borderId="3" xfId="0" applyFont="1" applyFill="1" applyBorder="1" applyAlignment="1">
      <alignment vertical="top"/>
    </xf>
    <xf numFmtId="0" fontId="69" fillId="62" borderId="89" xfId="0" applyFont="1" applyFill="1" applyBorder="1" applyAlignment="1">
      <alignment horizontal="center" vertical="center"/>
    </xf>
    <xf numFmtId="0" fontId="56" fillId="63" borderId="85" xfId="0" applyFont="1" applyFill="1" applyBorder="1" applyAlignment="1">
      <alignment horizontal="left"/>
    </xf>
    <xf numFmtId="0" fontId="0" fillId="0" borderId="0" xfId="0"/>
    <xf numFmtId="0" fontId="56" fillId="67" borderId="94" xfId="0" applyFont="1" applyFill="1" applyBorder="1"/>
    <xf numFmtId="0" fontId="56" fillId="67" borderId="93" xfId="0" applyFont="1" applyFill="1" applyBorder="1" applyAlignment="1">
      <alignment horizontal="center"/>
    </xf>
    <xf numFmtId="0" fontId="61" fillId="67" borderId="0" xfId="0" applyFont="1" applyFill="1" applyBorder="1"/>
    <xf numFmtId="0" fontId="63" fillId="43" borderId="3" xfId="45" applyFont="1" applyBorder="1" applyAlignment="1">
      <alignment horizontal="center" vertical="center"/>
    </xf>
    <xf numFmtId="0" fontId="56" fillId="0" borderId="0" xfId="0" applyFont="1" applyBorder="1" applyAlignment="1">
      <alignment horizontal="center"/>
    </xf>
    <xf numFmtId="0" fontId="63" fillId="0" borderId="3" xfId="127" applyFont="1" applyFill="1" applyBorder="1" applyAlignment="1">
      <alignment horizontal="center"/>
    </xf>
    <xf numFmtId="175" fontId="63" fillId="69" borderId="90" xfId="0" applyNumberFormat="1" applyFont="1" applyFill="1" applyBorder="1" applyAlignment="1">
      <alignment horizontal="center"/>
    </xf>
    <xf numFmtId="0" fontId="69" fillId="62" borderId="3" xfId="0" applyFont="1" applyFill="1" applyBorder="1" applyAlignment="1">
      <alignment horizontal="left" vertical="center" wrapText="1"/>
    </xf>
    <xf numFmtId="0" fontId="69" fillId="62" borderId="88" xfId="0" applyFont="1" applyFill="1" applyBorder="1" applyAlignment="1">
      <alignment horizontal="left" vertical="center" wrapText="1"/>
    </xf>
    <xf numFmtId="0" fontId="73" fillId="62" borderId="3" xfId="0" applyFont="1" applyFill="1" applyBorder="1" applyAlignment="1">
      <alignment vertical="center"/>
    </xf>
    <xf numFmtId="0" fontId="49" fillId="0" borderId="0" xfId="0" applyFont="1"/>
    <xf numFmtId="175" fontId="47" fillId="0" borderId="3" xfId="0" applyNumberFormat="1" applyFont="1" applyBorder="1" applyAlignment="1">
      <alignment horizontal="center"/>
    </xf>
    <xf numFmtId="0" fontId="0" fillId="0" borderId="85" xfId="0" applyBorder="1" applyAlignment="1">
      <alignment horizontal="left"/>
    </xf>
    <xf numFmtId="0" fontId="56" fillId="0" borderId="3" xfId="0" applyFont="1" applyFill="1" applyBorder="1" applyAlignment="1">
      <alignment wrapText="1"/>
    </xf>
    <xf numFmtId="0" fontId="56" fillId="0" borderId="85" xfId="0" applyFont="1" applyBorder="1" applyAlignment="1">
      <alignment horizontal="left"/>
    </xf>
    <xf numFmtId="0" fontId="56" fillId="0" borderId="85" xfId="0" applyFont="1" applyBorder="1" applyAlignment="1">
      <alignment horizontal="center"/>
    </xf>
    <xf numFmtId="0" fontId="69" fillId="62" borderId="97" xfId="0" applyFont="1" applyFill="1" applyBorder="1" applyAlignment="1">
      <alignment horizontal="left" vertical="top"/>
    </xf>
    <xf numFmtId="175" fontId="63" fillId="45" borderId="90" xfId="0" applyNumberFormat="1" applyFont="1" applyFill="1" applyBorder="1" applyAlignment="1">
      <alignment horizontal="center" vertical="center"/>
    </xf>
    <xf numFmtId="3" fontId="63" fillId="0" borderId="3" xfId="0" applyNumberFormat="1" applyFont="1" applyBorder="1" applyAlignment="1">
      <alignment horizontal="center"/>
    </xf>
    <xf numFmtId="177" fontId="63" fillId="69" borderId="97" xfId="0" applyNumberFormat="1" applyFont="1" applyFill="1" applyBorder="1" applyAlignment="1">
      <alignment horizontal="center"/>
    </xf>
    <xf numFmtId="177" fontId="63" fillId="69" borderId="85" xfId="0" applyNumberFormat="1" applyFont="1" applyFill="1" applyBorder="1" applyAlignment="1">
      <alignment horizontal="center"/>
    </xf>
    <xf numFmtId="0" fontId="63" fillId="0" borderId="3" xfId="0" applyFont="1" applyBorder="1" applyAlignment="1">
      <alignment horizontal="center" wrapText="1"/>
    </xf>
    <xf numFmtId="0" fontId="63" fillId="0" borderId="3" xfId="0" applyFont="1" applyBorder="1" applyAlignment="1">
      <alignment horizontal="left" wrapText="1"/>
    </xf>
    <xf numFmtId="0" fontId="63" fillId="0" borderId="3" xfId="0" applyFont="1" applyBorder="1" applyAlignment="1"/>
    <xf numFmtId="0" fontId="78" fillId="45" borderId="86" xfId="0" applyFont="1" applyFill="1" applyBorder="1" applyAlignment="1"/>
    <xf numFmtId="0" fontId="63" fillId="45" borderId="86" xfId="0" applyFont="1" applyFill="1" applyBorder="1" applyAlignment="1"/>
    <xf numFmtId="0" fontId="78" fillId="45" borderId="87" xfId="0" applyFont="1" applyFill="1" applyBorder="1" applyAlignment="1"/>
    <xf numFmtId="0" fontId="56" fillId="0" borderId="85" xfId="0" applyFont="1" applyBorder="1" applyAlignment="1">
      <alignment horizontal="left"/>
    </xf>
    <xf numFmtId="0" fontId="69" fillId="62" borderId="97" xfId="0" applyFont="1" applyFill="1" applyBorder="1" applyAlignment="1">
      <alignment horizontal="left" vertical="top"/>
    </xf>
    <xf numFmtId="0" fontId="56" fillId="0" borderId="3" xfId="0" applyFont="1" applyFill="1" applyBorder="1"/>
    <xf numFmtId="0" fontId="63" fillId="0" borderId="0" xfId="0" applyFont="1" applyAlignment="1"/>
    <xf numFmtId="0" fontId="56" fillId="0" borderId="85" xfId="0" applyFont="1" applyBorder="1" applyAlignment="1"/>
    <xf numFmtId="0" fontId="56" fillId="0" borderId="86" xfId="0" applyFont="1" applyBorder="1" applyAlignment="1"/>
    <xf numFmtId="177" fontId="56" fillId="0" borderId="3" xfId="0" applyNumberFormat="1" applyFont="1" applyBorder="1" applyAlignment="1">
      <alignment horizontal="center"/>
    </xf>
    <xf numFmtId="2" fontId="56" fillId="62" borderId="3" xfId="0" applyNumberFormat="1" applyFont="1" applyFill="1" applyBorder="1" applyAlignment="1">
      <alignment horizontal="right"/>
    </xf>
    <xf numFmtId="2" fontId="69" fillId="62" borderId="134" xfId="0" applyNumberFormat="1" applyFont="1" applyFill="1" applyBorder="1" applyAlignment="1">
      <alignment horizontal="right"/>
    </xf>
    <xf numFmtId="0" fontId="95" fillId="0" borderId="0" xfId="0" applyFont="1" applyFill="1"/>
    <xf numFmtId="0" fontId="56" fillId="0" borderId="0" xfId="0" applyFont="1" applyFill="1"/>
    <xf numFmtId="0" fontId="63" fillId="0" borderId="85" xfId="0" applyFont="1" applyFill="1" applyBorder="1" applyAlignment="1">
      <alignment horizontal="left"/>
    </xf>
    <xf numFmtId="176" fontId="63" fillId="61" borderId="97" xfId="0" applyNumberFormat="1" applyFont="1" applyFill="1" applyBorder="1" applyAlignment="1">
      <alignment horizontal="center"/>
    </xf>
    <xf numFmtId="0" fontId="69" fillId="51" borderId="0" xfId="0" applyFont="1" applyFill="1"/>
    <xf numFmtId="0" fontId="60" fillId="51" borderId="0" xfId="0" applyFont="1" applyFill="1"/>
    <xf numFmtId="0" fontId="56" fillId="0" borderId="3" xfId="0" applyFont="1" applyBorder="1" applyAlignment="1"/>
    <xf numFmtId="0" fontId="60" fillId="0" borderId="115" xfId="0" applyFont="1" applyFill="1" applyBorder="1"/>
    <xf numFmtId="0" fontId="56" fillId="0" borderId="115" xfId="0" applyFont="1" applyFill="1" applyBorder="1"/>
    <xf numFmtId="0" fontId="63" fillId="0" borderId="0" xfId="0" applyFont="1" applyFill="1" applyAlignment="1">
      <alignment horizontal="left" wrapText="1"/>
    </xf>
    <xf numFmtId="0" fontId="63" fillId="0" borderId="0" xfId="0" applyFont="1" applyFill="1"/>
    <xf numFmtId="0" fontId="63" fillId="0" borderId="116" xfId="0" applyFont="1" applyFill="1" applyBorder="1"/>
    <xf numFmtId="0" fontId="56" fillId="0" borderId="107" xfId="0" applyFont="1" applyFill="1" applyBorder="1"/>
    <xf numFmtId="0" fontId="56" fillId="0" borderId="108" xfId="0" applyFont="1" applyFill="1" applyBorder="1"/>
    <xf numFmtId="0" fontId="60" fillId="0" borderId="0" xfId="0" applyFont="1" applyFill="1"/>
    <xf numFmtId="0" fontId="63" fillId="0" borderId="115" xfId="0" applyFont="1" applyFill="1" applyBorder="1"/>
    <xf numFmtId="0" fontId="56" fillId="0" borderId="109" xfId="0" applyFont="1" applyFill="1" applyBorder="1"/>
    <xf numFmtId="0" fontId="56" fillId="0" borderId="0" xfId="0" applyFont="1" applyFill="1" applyAlignment="1">
      <alignment wrapText="1"/>
    </xf>
    <xf numFmtId="0" fontId="56" fillId="0" borderId="116" xfId="0" applyFont="1" applyFill="1" applyBorder="1" applyAlignment="1">
      <alignment wrapText="1"/>
    </xf>
    <xf numFmtId="0" fontId="56" fillId="0" borderId="0" xfId="0" applyFont="1" applyFill="1" applyAlignment="1">
      <alignment horizontal="left" wrapText="1"/>
    </xf>
    <xf numFmtId="0" fontId="85" fillId="0" borderId="0" xfId="0" applyFont="1" applyFill="1"/>
    <xf numFmtId="0" fontId="85" fillId="0" borderId="116" xfId="0" applyFont="1" applyFill="1" applyBorder="1"/>
    <xf numFmtId="0" fontId="67" fillId="0" borderId="0" xfId="62" applyFont="1" applyFill="1" applyBorder="1"/>
    <xf numFmtId="0" fontId="56" fillId="63" borderId="100" xfId="0" applyFont="1" applyFill="1" applyBorder="1" applyAlignment="1">
      <alignment horizontal="center" vertical="center"/>
    </xf>
    <xf numFmtId="0" fontId="56" fillId="63" borderId="85" xfId="0" applyFont="1" applyFill="1" applyBorder="1" applyAlignment="1">
      <alignment horizontal="left"/>
    </xf>
    <xf numFmtId="0" fontId="0" fillId="0" borderId="3" xfId="0" applyBorder="1" applyAlignment="1">
      <alignment horizontal="left"/>
    </xf>
    <xf numFmtId="0" fontId="69" fillId="62" borderId="91" xfId="0" applyFont="1" applyFill="1" applyBorder="1" applyAlignment="1">
      <alignment horizontal="left" vertical="top" wrapText="1"/>
    </xf>
    <xf numFmtId="0" fontId="69" fillId="62" borderId="91" xfId="0" applyFont="1" applyFill="1" applyBorder="1" applyAlignment="1">
      <alignment horizontal="left" vertical="top"/>
    </xf>
    <xf numFmtId="0" fontId="75" fillId="0" borderId="3" xfId="129" applyFont="1" applyFill="1" applyBorder="1"/>
    <xf numFmtId="0" fontId="67" fillId="0" borderId="3" xfId="62" applyFont="1" applyBorder="1"/>
    <xf numFmtId="0" fontId="48" fillId="0" borderId="3" xfId="62" applyBorder="1"/>
    <xf numFmtId="0" fontId="56" fillId="0" borderId="3" xfId="0" applyFont="1" applyBorder="1" applyAlignment="1">
      <alignment horizontal="left" vertical="top"/>
    </xf>
    <xf numFmtId="0" fontId="63" fillId="43" borderId="3" xfId="45" applyFont="1">
      <alignment vertical="center"/>
    </xf>
    <xf numFmtId="0" fontId="96" fillId="6" borderId="3" xfId="127" applyFont="1"/>
    <xf numFmtId="0" fontId="63" fillId="62" borderId="85" xfId="0" applyFont="1" applyFill="1" applyBorder="1" applyAlignment="1">
      <alignment horizontal="center"/>
    </xf>
    <xf numFmtId="0" fontId="60" fillId="0" borderId="86" xfId="0" applyFont="1" applyBorder="1" applyAlignment="1">
      <alignment horizontal="left" vertical="top"/>
    </xf>
    <xf numFmtId="0" fontId="56" fillId="71" borderId="97" xfId="0" applyFont="1" applyFill="1" applyBorder="1"/>
    <xf numFmtId="0" fontId="56" fillId="0" borderId="112" xfId="0" applyFont="1" applyBorder="1" applyAlignment="1"/>
    <xf numFmtId="0" fontId="56" fillId="55" borderId="114" xfId="0" applyFont="1" applyFill="1" applyBorder="1" applyAlignment="1"/>
    <xf numFmtId="0" fontId="67" fillId="0" borderId="114" xfId="62" applyFont="1" applyBorder="1" applyAlignment="1">
      <alignment vertical="top" wrapText="1"/>
    </xf>
    <xf numFmtId="175" fontId="56" fillId="0" borderId="0" xfId="0" applyNumberFormat="1" applyFont="1" applyBorder="1" applyAlignment="1">
      <alignment horizontal="center"/>
    </xf>
    <xf numFmtId="0" fontId="63" fillId="0" borderId="87" xfId="129" applyFont="1" applyFill="1" applyBorder="1"/>
    <xf numFmtId="3" fontId="63" fillId="61" borderId="3" xfId="0" applyNumberFormat="1" applyFont="1" applyFill="1" applyBorder="1" applyAlignment="1">
      <alignment horizontal="center"/>
    </xf>
    <xf numFmtId="2" fontId="63" fillId="61" borderId="3" xfId="0" applyNumberFormat="1" applyFont="1" applyFill="1" applyBorder="1" applyAlignment="1">
      <alignment horizontal="center"/>
    </xf>
    <xf numFmtId="0" fontId="56" fillId="0" borderId="85" xfId="0" applyFont="1" applyBorder="1" applyAlignment="1">
      <alignment horizontal="left"/>
    </xf>
    <xf numFmtId="0" fontId="0" fillId="0" borderId="0" xfId="0"/>
    <xf numFmtId="1" fontId="63" fillId="45" borderId="0" xfId="0" applyNumberFormat="1" applyFont="1" applyFill="1" applyBorder="1" applyAlignment="1">
      <alignment horizontal="center" vertical="center"/>
    </xf>
    <xf numFmtId="0" fontId="0" fillId="0" borderId="108" xfId="0" applyBorder="1"/>
    <xf numFmtId="0" fontId="0" fillId="0" borderId="109" xfId="0" applyBorder="1"/>
    <xf numFmtId="0" fontId="0" fillId="0" borderId="0" xfId="0" applyBorder="1"/>
    <xf numFmtId="0" fontId="0" fillId="0" borderId="116" xfId="0" applyBorder="1"/>
    <xf numFmtId="0" fontId="0" fillId="0" borderId="102" xfId="0" applyBorder="1"/>
    <xf numFmtId="0" fontId="0" fillId="0" borderId="103" xfId="0" applyBorder="1"/>
    <xf numFmtId="0" fontId="69" fillId="62" borderId="135" xfId="0" applyFont="1" applyFill="1" applyBorder="1" applyAlignment="1">
      <alignment horizontal="right"/>
    </xf>
    <xf numFmtId="0" fontId="0" fillId="0" borderId="96" xfId="0" applyBorder="1"/>
    <xf numFmtId="0" fontId="0" fillId="0" borderId="88" xfId="0" applyBorder="1"/>
    <xf numFmtId="0" fontId="69" fillId="62" borderId="3" xfId="0" applyFont="1" applyFill="1" applyBorder="1" applyAlignment="1">
      <alignment horizontal="center" vertical="center"/>
    </xf>
    <xf numFmtId="0" fontId="69" fillId="62" borderId="119" xfId="0" applyFont="1" applyFill="1" applyBorder="1" applyAlignment="1">
      <alignment horizontal="right"/>
    </xf>
    <xf numFmtId="0" fontId="69" fillId="62" borderId="120" xfId="0" applyFont="1" applyFill="1" applyBorder="1" applyAlignment="1">
      <alignment horizontal="right"/>
    </xf>
    <xf numFmtId="0" fontId="56" fillId="0" borderId="87" xfId="0" applyFont="1" applyBorder="1" applyAlignment="1">
      <alignment horizontal="center"/>
    </xf>
    <xf numFmtId="0" fontId="0" fillId="0" borderId="0" xfId="0"/>
    <xf numFmtId="4" fontId="56" fillId="0" borderId="87" xfId="0" applyNumberFormat="1" applyFont="1" applyBorder="1" applyAlignment="1">
      <alignment horizontal="center" vertical="center"/>
    </xf>
    <xf numFmtId="4" fontId="56" fillId="0" borderId="87" xfId="0" applyNumberFormat="1" applyFont="1" applyBorder="1" applyAlignment="1">
      <alignment horizontal="center"/>
    </xf>
    <xf numFmtId="0" fontId="0" fillId="0" borderId="0" xfId="0"/>
    <xf numFmtId="0" fontId="63" fillId="0" borderId="115" xfId="62" applyFont="1" applyBorder="1"/>
    <xf numFmtId="0" fontId="63" fillId="0" borderId="110" xfId="62" applyFont="1" applyBorder="1"/>
    <xf numFmtId="192" fontId="56" fillId="0" borderId="0" xfId="135" applyNumberFormat="1" applyFont="1" applyBorder="1"/>
    <xf numFmtId="192" fontId="60" fillId="0" borderId="0" xfId="135" applyNumberFormat="1" applyFont="1" applyBorder="1"/>
    <xf numFmtId="0" fontId="60" fillId="0" borderId="0" xfId="0" applyFont="1" applyBorder="1"/>
    <xf numFmtId="192" fontId="62" fillId="0" borderId="0" xfId="135" applyNumberFormat="1" applyFont="1" applyBorder="1"/>
    <xf numFmtId="2" fontId="56" fillId="0" borderId="108" xfId="0" applyNumberFormat="1" applyFont="1" applyBorder="1" applyAlignment="1">
      <alignment horizontal="right"/>
    </xf>
    <xf numFmtId="0" fontId="61" fillId="67" borderId="97" xfId="0" applyFont="1" applyFill="1" applyBorder="1" applyAlignment="1">
      <alignment horizontal="center" vertical="center" wrapText="1"/>
    </xf>
    <xf numFmtId="0" fontId="61" fillId="67" borderId="98" xfId="0" applyFont="1" applyFill="1" applyBorder="1" applyAlignment="1">
      <alignment horizontal="center" vertical="center" wrapText="1"/>
    </xf>
    <xf numFmtId="0" fontId="61" fillId="67" borderId="99" xfId="0" applyFont="1" applyFill="1" applyBorder="1" applyAlignment="1">
      <alignment horizontal="center" vertical="center" wrapText="1"/>
    </xf>
    <xf numFmtId="0" fontId="69" fillId="62" borderId="85" xfId="0" applyFont="1" applyFill="1" applyBorder="1" applyAlignment="1">
      <alignment horizontal="center" vertical="center"/>
    </xf>
    <xf numFmtId="0" fontId="69" fillId="62" borderId="86" xfId="0" applyFont="1" applyFill="1" applyBorder="1" applyAlignment="1">
      <alignment horizontal="center" vertical="center"/>
    </xf>
    <xf numFmtId="0" fontId="69" fillId="62" borderId="87" xfId="0" applyFont="1" applyFill="1" applyBorder="1" applyAlignment="1">
      <alignment horizontal="center" vertical="center"/>
    </xf>
    <xf numFmtId="0" fontId="56" fillId="0" borderId="85" xfId="127" applyFont="1" applyFill="1" applyBorder="1" applyAlignment="1">
      <alignment horizontal="left"/>
    </xf>
    <xf numFmtId="0" fontId="56" fillId="0" borderId="86" xfId="127" applyFont="1" applyFill="1" applyBorder="1" applyAlignment="1">
      <alignment horizontal="left"/>
    </xf>
    <xf numFmtId="0" fontId="63" fillId="43" borderId="85" xfId="45" applyFont="1" applyBorder="1" applyAlignment="1">
      <alignment horizontal="center" vertical="center"/>
    </xf>
    <xf numFmtId="0" fontId="63" fillId="43" borderId="87" xfId="45" applyFont="1" applyBorder="1" applyAlignment="1">
      <alignment horizontal="center" vertical="center"/>
    </xf>
    <xf numFmtId="0" fontId="63" fillId="43" borderId="86" xfId="45" applyFont="1" applyBorder="1" applyAlignment="1">
      <alignment horizontal="center" vertical="center"/>
    </xf>
    <xf numFmtId="0" fontId="56" fillId="0" borderId="87" xfId="127" applyFont="1" applyFill="1" applyBorder="1" applyAlignment="1">
      <alignment horizontal="left"/>
    </xf>
    <xf numFmtId="0" fontId="69" fillId="62" borderId="3" xfId="0" applyFont="1" applyFill="1" applyBorder="1" applyAlignment="1">
      <alignment horizontal="center" vertical="center"/>
    </xf>
    <xf numFmtId="0" fontId="56" fillId="0" borderId="85" xfId="127" applyFont="1" applyFill="1" applyBorder="1" applyAlignment="1">
      <alignment horizontal="center"/>
    </xf>
    <xf numFmtId="0" fontId="56" fillId="0" borderId="86" xfId="127" applyFont="1" applyFill="1" applyBorder="1" applyAlignment="1">
      <alignment horizontal="center"/>
    </xf>
    <xf numFmtId="0" fontId="56" fillId="0" borderId="87" xfId="127" applyFont="1" applyFill="1" applyBorder="1" applyAlignment="1">
      <alignment horizontal="center"/>
    </xf>
    <xf numFmtId="0" fontId="69" fillId="62" borderId="92" xfId="0" applyFont="1" applyFill="1" applyBorder="1" applyAlignment="1">
      <alignment horizontal="center" vertical="center" wrapText="1"/>
    </xf>
    <xf numFmtId="0" fontId="69" fillId="62" borderId="94" xfId="0" applyFont="1" applyFill="1" applyBorder="1" applyAlignment="1">
      <alignment horizontal="center" vertical="center" wrapText="1"/>
    </xf>
    <xf numFmtId="0" fontId="69" fillId="62" borderId="97" xfId="0" applyFont="1" applyFill="1" applyBorder="1" applyAlignment="1">
      <alignment horizontal="center" vertical="center" wrapText="1"/>
    </xf>
    <xf numFmtId="0" fontId="69" fillId="62" borderId="99" xfId="0" applyFont="1" applyFill="1" applyBorder="1" applyAlignment="1">
      <alignment horizontal="center" vertical="center" wrapText="1"/>
    </xf>
    <xf numFmtId="3" fontId="56" fillId="0" borderId="85" xfId="127" applyNumberFormat="1" applyFont="1" applyFill="1" applyBorder="1" applyAlignment="1">
      <alignment horizontal="center"/>
    </xf>
    <xf numFmtId="3" fontId="56" fillId="0" borderId="87" xfId="127" applyNumberFormat="1" applyFont="1" applyFill="1" applyBorder="1" applyAlignment="1">
      <alignment horizontal="center"/>
    </xf>
    <xf numFmtId="0" fontId="69" fillId="62" borderId="89" xfId="0" applyFont="1" applyFill="1" applyBorder="1" applyAlignment="1">
      <alignment horizontal="center" vertical="center" wrapText="1"/>
    </xf>
    <xf numFmtId="0" fontId="69" fillId="62" borderId="91" xfId="0" applyFont="1" applyFill="1" applyBorder="1" applyAlignment="1">
      <alignment horizontal="center" vertical="center" wrapText="1"/>
    </xf>
    <xf numFmtId="0" fontId="69" fillId="62" borderId="92" xfId="0" applyFont="1" applyFill="1" applyBorder="1" applyAlignment="1">
      <alignment horizontal="center" vertical="center"/>
    </xf>
    <xf numFmtId="0" fontId="69" fillId="62" borderId="94" xfId="0" applyFont="1" applyFill="1" applyBorder="1" applyAlignment="1">
      <alignment horizontal="center" vertical="center"/>
    </xf>
    <xf numFmtId="0" fontId="69" fillId="62" borderId="96" xfId="0" applyFont="1" applyFill="1" applyBorder="1" applyAlignment="1">
      <alignment horizontal="center" vertical="center"/>
    </xf>
    <xf numFmtId="0" fontId="69" fillId="62" borderId="88" xfId="0" applyFont="1" applyFill="1" applyBorder="1" applyAlignment="1">
      <alignment horizontal="center" vertical="center"/>
    </xf>
    <xf numFmtId="0" fontId="69" fillId="62" borderId="97" xfId="0" applyFont="1" applyFill="1" applyBorder="1" applyAlignment="1">
      <alignment horizontal="center" vertical="center"/>
    </xf>
    <xf numFmtId="0" fontId="69" fillId="62" borderId="99" xfId="0" applyFont="1" applyFill="1" applyBorder="1" applyAlignment="1">
      <alignment horizontal="center" vertical="center"/>
    </xf>
    <xf numFmtId="0" fontId="69" fillId="62" borderId="90" xfId="0" applyFont="1" applyFill="1" applyBorder="1" applyAlignment="1">
      <alignment horizontal="center" vertical="center" wrapText="1"/>
    </xf>
    <xf numFmtId="0" fontId="63" fillId="43" borderId="85" xfId="45" applyFont="1" applyBorder="1" applyAlignment="1">
      <alignment horizontal="left" vertical="center"/>
    </xf>
    <xf numFmtId="0" fontId="63" fillId="43" borderId="87" xfId="45" applyFont="1" applyBorder="1" applyAlignment="1">
      <alignment horizontal="left" vertical="center"/>
    </xf>
    <xf numFmtId="0" fontId="69" fillId="62" borderId="89" xfId="0" applyFont="1" applyFill="1" applyBorder="1" applyAlignment="1">
      <alignment horizontal="center" vertical="center"/>
    </xf>
    <xf numFmtId="0" fontId="69" fillId="62" borderId="91" xfId="0" applyFont="1" applyFill="1" applyBorder="1" applyAlignment="1">
      <alignment horizontal="center" vertical="center"/>
    </xf>
    <xf numFmtId="0" fontId="69" fillId="62" borderId="90" xfId="0" applyFont="1" applyFill="1" applyBorder="1" applyAlignment="1">
      <alignment horizontal="center" vertical="center"/>
    </xf>
    <xf numFmtId="0" fontId="69" fillId="62" borderId="96" xfId="0" applyFont="1" applyFill="1" applyBorder="1" applyAlignment="1">
      <alignment horizontal="center" vertical="center" wrapText="1"/>
    </xf>
    <xf numFmtId="0" fontId="69" fillId="62" borderId="88" xfId="0" applyFont="1" applyFill="1" applyBorder="1" applyAlignment="1">
      <alignment horizontal="center" vertical="center" wrapText="1"/>
    </xf>
    <xf numFmtId="0" fontId="63" fillId="43" borderId="92" xfId="45" applyFont="1" applyBorder="1" applyAlignment="1">
      <alignment horizontal="left" vertical="center"/>
    </xf>
    <xf numFmtId="0" fontId="63" fillId="43" borderId="94" xfId="45" applyFont="1" applyBorder="1" applyAlignment="1">
      <alignment horizontal="left" vertical="center"/>
    </xf>
    <xf numFmtId="0" fontId="69" fillId="62" borderId="119" xfId="0" applyFont="1" applyFill="1" applyBorder="1" applyAlignment="1">
      <alignment horizontal="right"/>
    </xf>
    <xf numFmtId="0" fontId="69" fillId="62" borderId="120" xfId="0" applyFont="1" applyFill="1" applyBorder="1" applyAlignment="1">
      <alignment horizontal="right"/>
    </xf>
    <xf numFmtId="0" fontId="69" fillId="62" borderId="118" xfId="0" applyFont="1" applyFill="1" applyBorder="1" applyAlignment="1">
      <alignment horizontal="right"/>
    </xf>
    <xf numFmtId="4" fontId="69" fillId="62" borderId="127" xfId="0" applyNumberFormat="1" applyFont="1" applyFill="1" applyBorder="1" applyAlignment="1">
      <alignment horizontal="right" vertical="center"/>
    </xf>
    <xf numFmtId="4" fontId="69" fillId="62" borderId="132" xfId="0" applyNumberFormat="1" applyFont="1" applyFill="1" applyBorder="1" applyAlignment="1">
      <alignment horizontal="right" vertical="center"/>
    </xf>
    <xf numFmtId="4" fontId="69" fillId="62" borderId="128" xfId="0" applyNumberFormat="1" applyFont="1" applyFill="1" applyBorder="1" applyAlignment="1">
      <alignment horizontal="right" vertical="center"/>
    </xf>
    <xf numFmtId="4" fontId="69" fillId="62" borderId="133" xfId="0" applyNumberFormat="1" applyFont="1" applyFill="1" applyBorder="1" applyAlignment="1">
      <alignment horizontal="right" vertical="center"/>
    </xf>
    <xf numFmtId="0" fontId="56" fillId="63" borderId="85" xfId="0" applyFont="1" applyFill="1" applyBorder="1" applyAlignment="1">
      <alignment horizontal="left"/>
    </xf>
    <xf numFmtId="0" fontId="56" fillId="63" borderId="87" xfId="0" applyFont="1" applyFill="1" applyBorder="1" applyAlignment="1">
      <alignment horizontal="left"/>
    </xf>
    <xf numFmtId="0" fontId="69" fillId="62" borderId="93" xfId="0" applyFont="1" applyFill="1" applyBorder="1" applyAlignment="1">
      <alignment horizontal="center" vertical="center" wrapText="1"/>
    </xf>
    <xf numFmtId="0" fontId="69" fillId="62" borderId="0" xfId="0" applyFont="1" applyFill="1" applyAlignment="1">
      <alignment horizontal="center" vertical="center" wrapText="1"/>
    </xf>
    <xf numFmtId="0" fontId="69" fillId="62" borderId="98" xfId="0" applyFont="1" applyFill="1" applyBorder="1" applyAlignment="1">
      <alignment horizontal="center" vertical="center" wrapText="1"/>
    </xf>
    <xf numFmtId="0" fontId="56" fillId="63" borderId="86" xfId="0" applyFont="1" applyFill="1" applyBorder="1" applyAlignment="1">
      <alignment horizontal="left"/>
    </xf>
    <xf numFmtId="0" fontId="69" fillId="62" borderId="93" xfId="0" applyFont="1" applyFill="1" applyBorder="1" applyAlignment="1">
      <alignment horizontal="center" vertical="center"/>
    </xf>
    <xf numFmtId="0" fontId="69" fillId="62" borderId="98" xfId="0" applyFont="1" applyFill="1" applyBorder="1" applyAlignment="1">
      <alignment horizontal="center" vertical="center"/>
    </xf>
    <xf numFmtId="0" fontId="69" fillId="62" borderId="85" xfId="0" applyFont="1" applyFill="1" applyBorder="1" applyAlignment="1">
      <alignment horizontal="center" vertical="center" wrapText="1"/>
    </xf>
    <xf numFmtId="0" fontId="69" fillId="62" borderId="87" xfId="0" applyFont="1" applyFill="1" applyBorder="1" applyAlignment="1">
      <alignment horizontal="center" vertical="center" wrapText="1"/>
    </xf>
    <xf numFmtId="0" fontId="56" fillId="63" borderId="85" xfId="127" applyFont="1" applyFill="1" applyBorder="1" applyAlignment="1">
      <alignment horizontal="left" vertical="center"/>
    </xf>
    <xf numFmtId="0" fontId="56" fillId="63" borderId="86" xfId="127" applyFont="1" applyFill="1" applyBorder="1" applyAlignment="1">
      <alignment horizontal="left" vertical="center"/>
    </xf>
    <xf numFmtId="0" fontId="56" fillId="63" borderId="87" xfId="127" applyFont="1" applyFill="1" applyBorder="1" applyAlignment="1">
      <alignment horizontal="left" vertical="center"/>
    </xf>
    <xf numFmtId="0" fontId="56" fillId="0" borderId="115" xfId="0" applyFont="1" applyBorder="1" applyAlignment="1">
      <alignment horizontal="left"/>
    </xf>
    <xf numFmtId="0" fontId="56" fillId="0" borderId="0" xfId="0" applyFont="1" applyAlignment="1">
      <alignment horizontal="left"/>
    </xf>
    <xf numFmtId="0" fontId="56" fillId="0" borderId="116" xfId="0" applyFont="1" applyBorder="1" applyAlignment="1">
      <alignment horizontal="left"/>
    </xf>
    <xf numFmtId="0" fontId="56" fillId="0" borderId="101" xfId="0" applyFont="1" applyBorder="1" applyAlignment="1">
      <alignment horizontal="left" wrapText="1"/>
    </xf>
    <xf numFmtId="0" fontId="63" fillId="43" borderId="86" xfId="45" applyFont="1" applyBorder="1" applyAlignment="1">
      <alignment horizontal="left" vertical="center"/>
    </xf>
    <xf numFmtId="0" fontId="63" fillId="43" borderId="93" xfId="45" applyFont="1" applyBorder="1" applyAlignment="1">
      <alignment horizontal="left" vertical="center"/>
    </xf>
    <xf numFmtId="0" fontId="56" fillId="0" borderId="85" xfId="0" applyFont="1" applyBorder="1" applyAlignment="1">
      <alignment horizontal="left"/>
    </xf>
    <xf numFmtId="0" fontId="56" fillId="0" borderId="86" xfId="0" applyFont="1" applyBorder="1" applyAlignment="1">
      <alignment horizontal="left"/>
    </xf>
    <xf numFmtId="0" fontId="56" fillId="0" borderId="87" xfId="0" applyFont="1" applyBorder="1" applyAlignment="1">
      <alignment horizontal="left"/>
    </xf>
    <xf numFmtId="0" fontId="56" fillId="0" borderId="92" xfId="0" applyFont="1" applyBorder="1" applyAlignment="1">
      <alignment horizontal="left"/>
    </xf>
    <xf numFmtId="0" fontId="56" fillId="0" borderId="93" xfId="0" applyFont="1" applyBorder="1" applyAlignment="1">
      <alignment horizontal="left"/>
    </xf>
    <xf numFmtId="0" fontId="56" fillId="0" borderId="94" xfId="0" applyFont="1" applyBorder="1" applyAlignment="1">
      <alignment horizontal="left"/>
    </xf>
    <xf numFmtId="0" fontId="56" fillId="0" borderId="85" xfId="0" applyFont="1" applyBorder="1" applyAlignment="1">
      <alignment horizontal="center"/>
    </xf>
    <xf numFmtId="0" fontId="56" fillId="0" borderId="87" xfId="0" applyFont="1" applyBorder="1" applyAlignment="1">
      <alignment horizontal="center"/>
    </xf>
    <xf numFmtId="0" fontId="56" fillId="0" borderId="92" xfId="0" applyFont="1" applyBorder="1" applyAlignment="1">
      <alignment horizontal="center"/>
    </xf>
    <xf numFmtId="0" fontId="56" fillId="0" borderId="94" xfId="0" applyFont="1" applyBorder="1" applyAlignment="1">
      <alignment horizontal="center"/>
    </xf>
    <xf numFmtId="0" fontId="60" fillId="0" borderId="0" xfId="0" applyFont="1" applyBorder="1" applyAlignment="1">
      <alignment horizontal="center"/>
    </xf>
    <xf numFmtId="0" fontId="60" fillId="0" borderId="137" xfId="0" applyFont="1" applyBorder="1" applyAlignment="1">
      <alignment horizontal="center"/>
    </xf>
    <xf numFmtId="0" fontId="62" fillId="0" borderId="0" xfId="0" applyFont="1" applyBorder="1" applyAlignment="1">
      <alignment horizontal="center"/>
    </xf>
    <xf numFmtId="0" fontId="62" fillId="0" borderId="137" xfId="0" applyFont="1" applyBorder="1" applyAlignment="1">
      <alignment horizontal="center"/>
    </xf>
    <xf numFmtId="0" fontId="61" fillId="67" borderId="85" xfId="0" applyFont="1" applyFill="1" applyBorder="1" applyAlignment="1">
      <alignment horizontal="right"/>
    </xf>
    <xf numFmtId="0" fontId="61" fillId="67" borderId="87" xfId="0" applyFont="1" applyFill="1" applyBorder="1" applyAlignment="1">
      <alignment horizontal="right"/>
    </xf>
    <xf numFmtId="0" fontId="56" fillId="63" borderId="100" xfId="0" applyFont="1" applyFill="1" applyBorder="1" applyAlignment="1">
      <alignment horizontal="center"/>
    </xf>
    <xf numFmtId="0" fontId="62" fillId="0" borderId="89" xfId="0" applyFont="1" applyBorder="1" applyAlignment="1">
      <alignment horizontal="center" vertical="center"/>
    </xf>
    <xf numFmtId="0" fontId="62" fillId="0" borderId="91" xfId="0" applyFont="1" applyBorder="1" applyAlignment="1">
      <alignment horizontal="center" vertical="center"/>
    </xf>
    <xf numFmtId="0" fontId="62" fillId="0" borderId="90" xfId="0" applyFont="1" applyBorder="1" applyAlignment="1">
      <alignment horizontal="center" vertical="center"/>
    </xf>
    <xf numFmtId="175" fontId="69" fillId="62" borderId="3" xfId="0" applyNumberFormat="1" applyFont="1" applyFill="1" applyBorder="1" applyAlignment="1">
      <alignment horizontal="center" vertical="center"/>
    </xf>
    <xf numFmtId="0" fontId="69" fillId="62" borderId="3" xfId="0" applyFont="1" applyFill="1" applyBorder="1" applyAlignment="1">
      <alignment horizontal="left" wrapText="1"/>
    </xf>
    <xf numFmtId="0" fontId="73" fillId="62" borderId="89" xfId="0" applyFont="1" applyFill="1" applyBorder="1" applyAlignment="1">
      <alignment horizontal="left" vertical="center" wrapText="1"/>
    </xf>
    <xf numFmtId="0" fontId="69" fillId="62" borderId="90" xfId="0" applyFont="1" applyFill="1" applyBorder="1" applyAlignment="1">
      <alignment horizontal="left" vertical="center" wrapText="1"/>
    </xf>
    <xf numFmtId="0" fontId="73" fillId="62" borderId="89" xfId="0" applyFont="1" applyFill="1" applyBorder="1" applyAlignment="1">
      <alignment horizontal="center" vertical="center"/>
    </xf>
    <xf numFmtId="0" fontId="73" fillId="62" borderId="90" xfId="0" applyFont="1" applyFill="1" applyBorder="1" applyAlignment="1">
      <alignment horizontal="center" vertical="center"/>
    </xf>
    <xf numFmtId="0" fontId="69" fillId="62" borderId="89" xfId="0" applyFont="1" applyFill="1" applyBorder="1" applyAlignment="1">
      <alignment horizontal="left" vertical="center"/>
    </xf>
    <xf numFmtId="0" fontId="69" fillId="62" borderId="90" xfId="0" applyFont="1" applyFill="1" applyBorder="1" applyAlignment="1">
      <alignment horizontal="left" vertical="center"/>
    </xf>
    <xf numFmtId="0" fontId="69" fillId="62" borderId="92" xfId="0" applyFont="1" applyFill="1" applyBorder="1" applyAlignment="1">
      <alignment horizontal="left" vertical="center"/>
    </xf>
    <xf numFmtId="0" fontId="69" fillId="62" borderId="97" xfId="0" applyFont="1" applyFill="1" applyBorder="1" applyAlignment="1">
      <alignment horizontal="left" vertical="center"/>
    </xf>
    <xf numFmtId="0" fontId="69" fillId="62" borderId="85" xfId="0" applyFont="1" applyFill="1" applyBorder="1" applyAlignment="1">
      <alignment horizontal="center"/>
    </xf>
    <xf numFmtId="0" fontId="69" fillId="62" borderId="86" xfId="0" applyFont="1" applyFill="1" applyBorder="1" applyAlignment="1">
      <alignment horizontal="center"/>
    </xf>
    <xf numFmtId="0" fontId="69" fillId="62" borderId="87" xfId="0" applyFont="1" applyFill="1" applyBorder="1" applyAlignment="1">
      <alignment horizontal="center"/>
    </xf>
    <xf numFmtId="0" fontId="69" fillId="62" borderId="89" xfId="0" applyFont="1" applyFill="1" applyBorder="1" applyAlignment="1">
      <alignment horizontal="left" vertical="top" wrapText="1"/>
    </xf>
    <xf numFmtId="0" fontId="69" fillId="62" borderId="90" xfId="0" applyFont="1" applyFill="1" applyBorder="1" applyAlignment="1">
      <alignment horizontal="left" vertical="top" wrapText="1"/>
    </xf>
    <xf numFmtId="0" fontId="69" fillId="62" borderId="92" xfId="0" applyFont="1" applyFill="1" applyBorder="1" applyAlignment="1">
      <alignment horizontal="left" vertical="top"/>
    </xf>
    <xf numFmtId="0" fontId="69" fillId="62" borderId="93" xfId="0" applyFont="1" applyFill="1" applyBorder="1" applyAlignment="1">
      <alignment horizontal="left" vertical="top"/>
    </xf>
    <xf numFmtId="0" fontId="69" fillId="62" borderId="94" xfId="0" applyFont="1" applyFill="1" applyBorder="1" applyAlignment="1">
      <alignment horizontal="left" vertical="top"/>
    </xf>
    <xf numFmtId="0" fontId="69" fillId="62" borderId="97" xfId="0" applyFont="1" applyFill="1" applyBorder="1" applyAlignment="1">
      <alignment horizontal="left" vertical="top"/>
    </xf>
    <xf numFmtId="0" fontId="69" fillId="62" borderId="98" xfId="0" applyFont="1" applyFill="1" applyBorder="1" applyAlignment="1">
      <alignment horizontal="left" vertical="top"/>
    </xf>
    <xf numFmtId="0" fontId="69" fillId="62" borderId="99" xfId="0" applyFont="1" applyFill="1" applyBorder="1" applyAlignment="1">
      <alignment horizontal="left" vertical="top"/>
    </xf>
    <xf numFmtId="0" fontId="69" fillId="62" borderId="89" xfId="0" applyFont="1" applyFill="1" applyBorder="1" applyAlignment="1">
      <alignment horizontal="left" vertical="top"/>
    </xf>
    <xf numFmtId="0" fontId="69" fillId="62" borderId="90" xfId="0" applyFont="1" applyFill="1" applyBorder="1" applyAlignment="1">
      <alignment horizontal="left" vertical="top"/>
    </xf>
    <xf numFmtId="0" fontId="20" fillId="33" borderId="0" xfId="30" applyFont="1" applyFill="1" applyAlignment="1">
      <alignment horizontal="left" wrapText="1"/>
    </xf>
    <xf numFmtId="0" fontId="34" fillId="46" borderId="22" xfId="33" applyFont="1" applyFill="1" applyBorder="1" applyAlignment="1">
      <alignment horizontal="center" vertical="center"/>
    </xf>
    <xf numFmtId="0" fontId="34" fillId="46" borderId="40" xfId="33" applyFont="1" applyFill="1" applyBorder="1" applyAlignment="1">
      <alignment horizontal="center" vertical="center"/>
    </xf>
    <xf numFmtId="0" fontId="34" fillId="46" borderId="23" xfId="33" applyFont="1" applyFill="1" applyBorder="1" applyAlignment="1">
      <alignment horizontal="center" vertical="center"/>
    </xf>
    <xf numFmtId="0" fontId="34" fillId="46" borderId="22" xfId="33" applyFont="1" applyFill="1" applyBorder="1" applyAlignment="1">
      <alignment vertical="center"/>
    </xf>
    <xf numFmtId="0" fontId="34" fillId="46" borderId="40" xfId="33" applyFont="1" applyFill="1" applyBorder="1" applyAlignment="1">
      <alignment vertical="center"/>
    </xf>
    <xf numFmtId="0" fontId="34" fillId="46" borderId="23" xfId="33" applyFont="1" applyFill="1" applyBorder="1" applyAlignment="1">
      <alignment vertical="center"/>
    </xf>
    <xf numFmtId="0" fontId="34" fillId="46" borderId="41" xfId="33" applyFont="1" applyFill="1" applyBorder="1" applyAlignment="1">
      <alignment vertical="center" wrapText="1"/>
    </xf>
    <xf numFmtId="0" fontId="34" fillId="46" borderId="42" xfId="33" applyFont="1" applyFill="1" applyBorder="1" applyAlignment="1">
      <alignment vertical="center" wrapText="1"/>
    </xf>
    <xf numFmtId="0" fontId="34" fillId="46" borderId="24" xfId="33" applyFont="1" applyFill="1" applyBorder="1" applyAlignment="1">
      <alignment vertical="center" wrapText="1"/>
    </xf>
    <xf numFmtId="0" fontId="34" fillId="46" borderId="22" xfId="33" applyFont="1" applyFill="1" applyBorder="1" applyAlignment="1">
      <alignment vertical="center" wrapText="1"/>
    </xf>
    <xf numFmtId="0" fontId="34" fillId="46" borderId="40" xfId="33" applyFont="1" applyFill="1" applyBorder="1" applyAlignment="1">
      <alignment vertical="center" wrapText="1"/>
    </xf>
    <xf numFmtId="0" fontId="34" fillId="46" borderId="23" xfId="33" applyFont="1" applyFill="1" applyBorder="1" applyAlignment="1">
      <alignment vertical="center" wrapText="1"/>
    </xf>
    <xf numFmtId="0" fontId="34" fillId="46" borderId="22" xfId="33" applyFont="1" applyFill="1" applyBorder="1" applyAlignment="1">
      <alignment horizontal="left" vertical="center" wrapText="1"/>
    </xf>
    <xf numFmtId="0" fontId="34" fillId="46" borderId="40" xfId="33" applyFont="1" applyFill="1" applyBorder="1" applyAlignment="1">
      <alignment horizontal="left" vertical="center" wrapText="1"/>
    </xf>
    <xf numFmtId="0" fontId="34" fillId="46" borderId="23" xfId="33" applyFont="1" applyFill="1" applyBorder="1" applyAlignment="1">
      <alignment horizontal="left" vertical="center" wrapText="1"/>
    </xf>
    <xf numFmtId="0" fontId="34" fillId="46" borderId="21" xfId="33" applyFont="1" applyFill="1" applyBorder="1" applyAlignment="1">
      <alignment horizontal="left" vertical="center" wrapText="1"/>
    </xf>
    <xf numFmtId="0" fontId="34" fillId="46" borderId="21" xfId="33" applyFont="1" applyFill="1" applyBorder="1" applyAlignment="1">
      <alignment vertical="center"/>
    </xf>
    <xf numFmtId="0" fontId="34" fillId="46" borderId="21" xfId="33" applyFont="1" applyFill="1" applyBorder="1" applyAlignment="1">
      <alignment vertical="center" wrapText="1"/>
    </xf>
    <xf numFmtId="0" fontId="20" fillId="45" borderId="0" xfId="30" applyFont="1" applyFill="1" applyAlignment="1">
      <alignment horizontal="left" vertical="top" wrapText="1"/>
    </xf>
    <xf numFmtId="0" fontId="34" fillId="0" borderId="21" xfId="33" applyFont="1" applyBorder="1" applyAlignment="1">
      <alignment horizontal="center"/>
    </xf>
    <xf numFmtId="0" fontId="20" fillId="33" borderId="0" xfId="30" applyFont="1" applyFill="1" applyAlignment="1">
      <alignment horizontal="left" vertical="top" wrapText="1"/>
    </xf>
    <xf numFmtId="0" fontId="11" fillId="33" borderId="53" xfId="30" applyFont="1" applyFill="1" applyBorder="1" applyAlignment="1">
      <alignment horizontal="left" vertical="center"/>
    </xf>
    <xf numFmtId="0" fontId="11" fillId="33" borderId="54" xfId="30" applyFont="1" applyFill="1" applyBorder="1" applyAlignment="1">
      <alignment horizontal="left" vertical="center"/>
    </xf>
    <xf numFmtId="0" fontId="11" fillId="33" borderId="11" xfId="30" applyFont="1" applyFill="1" applyBorder="1" applyAlignment="1">
      <alignment horizontal="left" vertical="center"/>
    </xf>
    <xf numFmtId="0" fontId="11" fillId="33" borderId="56" xfId="30" applyFont="1" applyFill="1" applyBorder="1" applyAlignment="1">
      <alignment horizontal="left" vertical="center"/>
    </xf>
    <xf numFmtId="0" fontId="11" fillId="33" borderId="48" xfId="30" applyFont="1" applyFill="1" applyBorder="1" applyAlignment="1">
      <alignment horizontal="left" vertical="center"/>
    </xf>
    <xf numFmtId="0" fontId="10" fillId="40" borderId="61" xfId="30" applyFont="1" applyFill="1" applyBorder="1" applyAlignment="1">
      <alignment horizontal="left" wrapText="1"/>
    </xf>
    <xf numFmtId="0" fontId="10" fillId="40" borderId="62" xfId="30" applyFont="1" applyFill="1" applyBorder="1" applyAlignment="1">
      <alignment horizontal="left" wrapText="1"/>
    </xf>
    <xf numFmtId="180" fontId="34" fillId="0" borderId="21" xfId="33" applyNumberFormat="1" applyFont="1" applyBorder="1" applyAlignment="1">
      <alignment horizontal="center"/>
    </xf>
    <xf numFmtId="0" fontId="34" fillId="0" borderId="28" xfId="33" applyFont="1" applyBorder="1" applyAlignment="1">
      <alignment horizontal="center" wrapText="1"/>
    </xf>
    <xf numFmtId="0" fontId="34" fillId="0" borderId="29" xfId="33" applyFont="1" applyBorder="1" applyAlignment="1">
      <alignment horizontal="center" wrapText="1"/>
    </xf>
    <xf numFmtId="0" fontId="34" fillId="0" borderId="44" xfId="33" applyFont="1" applyBorder="1" applyAlignment="1">
      <alignment horizontal="center" wrapText="1"/>
    </xf>
    <xf numFmtId="0" fontId="34" fillId="0" borderId="43" xfId="33" applyFont="1" applyBorder="1" applyAlignment="1">
      <alignment horizontal="center" wrapText="1"/>
    </xf>
    <xf numFmtId="0" fontId="34" fillId="0" borderId="37" xfId="33" applyFont="1" applyBorder="1" applyAlignment="1">
      <alignment horizontal="center" wrapText="1"/>
    </xf>
    <xf numFmtId="0" fontId="34" fillId="46" borderId="35" xfId="33" applyFont="1" applyFill="1" applyBorder="1" applyAlignment="1">
      <alignment horizontal="left" vertical="center" wrapText="1"/>
    </xf>
    <xf numFmtId="0" fontId="34" fillId="46" borderId="38" xfId="33" applyFont="1" applyFill="1" applyBorder="1" applyAlignment="1">
      <alignment horizontal="left" vertical="center" wrapText="1"/>
    </xf>
    <xf numFmtId="0" fontId="34" fillId="46" borderId="31" xfId="33" applyFont="1" applyFill="1" applyBorder="1" applyAlignment="1">
      <alignment horizontal="left" vertical="center" wrapText="1"/>
    </xf>
    <xf numFmtId="0" fontId="34" fillId="45" borderId="61" xfId="33" applyFont="1" applyFill="1" applyBorder="1" applyAlignment="1">
      <alignment horizontal="center"/>
    </xf>
    <xf numFmtId="0" fontId="34" fillId="45" borderId="62" xfId="33" applyFont="1" applyFill="1" applyBorder="1" applyAlignment="1">
      <alignment horizontal="center"/>
    </xf>
    <xf numFmtId="0" fontId="34" fillId="45" borderId="63" xfId="33" applyFont="1" applyFill="1" applyBorder="1" applyAlignment="1">
      <alignment horizontal="center"/>
    </xf>
    <xf numFmtId="0" fontId="34" fillId="0" borderId="33" xfId="33" applyFont="1" applyBorder="1" applyAlignment="1">
      <alignment horizontal="center"/>
    </xf>
    <xf numFmtId="0" fontId="11" fillId="0" borderId="0" xfId="30" applyFont="1" applyAlignment="1">
      <alignment vertical="top"/>
    </xf>
    <xf numFmtId="0" fontId="13" fillId="35" borderId="73" xfId="30" applyFont="1" applyFill="1" applyBorder="1" applyAlignment="1">
      <alignment horizontal="center" vertical="top" wrapText="1"/>
    </xf>
    <xf numFmtId="0" fontId="13" fillId="35" borderId="69" xfId="30" applyFont="1" applyFill="1" applyBorder="1" applyAlignment="1">
      <alignment horizontal="center" vertical="top" wrapText="1"/>
    </xf>
    <xf numFmtId="0" fontId="13" fillId="35" borderId="70" xfId="30" applyFont="1" applyFill="1" applyBorder="1" applyAlignment="1">
      <alignment horizontal="center" vertical="top" wrapText="1"/>
    </xf>
    <xf numFmtId="0" fontId="11" fillId="33" borderId="75" xfId="30" applyFont="1" applyFill="1" applyBorder="1" applyAlignment="1">
      <alignment horizontal="left"/>
    </xf>
    <xf numFmtId="0" fontId="11" fillId="33" borderId="76" xfId="30" applyFont="1" applyFill="1" applyBorder="1" applyAlignment="1">
      <alignment horizontal="left"/>
    </xf>
    <xf numFmtId="0" fontId="11" fillId="33" borderId="77" xfId="30" applyFont="1" applyFill="1" applyBorder="1" applyAlignment="1">
      <alignment horizontal="left"/>
    </xf>
    <xf numFmtId="0" fontId="11" fillId="33" borderId="61" xfId="30" applyFont="1" applyFill="1" applyBorder="1" applyAlignment="1">
      <alignment horizontal="left"/>
    </xf>
    <xf numFmtId="0" fontId="11" fillId="33" borderId="62" xfId="30" applyFont="1" applyFill="1" applyBorder="1" applyAlignment="1">
      <alignment horizontal="left"/>
    </xf>
    <xf numFmtId="0" fontId="11" fillId="33" borderId="78" xfId="30" applyFont="1" applyFill="1" applyBorder="1" applyAlignment="1">
      <alignment horizontal="left"/>
    </xf>
    <xf numFmtId="0" fontId="44" fillId="33" borderId="0" xfId="30" applyFont="1" applyFill="1" applyAlignment="1">
      <alignment horizontal="left" wrapText="1"/>
    </xf>
    <xf numFmtId="0" fontId="11" fillId="45" borderId="61" xfId="30" applyFont="1" applyFill="1" applyBorder="1" applyAlignment="1">
      <alignment horizontal="left"/>
    </xf>
    <xf numFmtId="0" fontId="11" fillId="45" borderId="62" xfId="30" applyFont="1" applyFill="1" applyBorder="1" applyAlignment="1">
      <alignment horizontal="left"/>
    </xf>
    <xf numFmtId="0" fontId="11" fillId="45" borderId="78" xfId="30" applyFont="1" applyFill="1" applyBorder="1" applyAlignment="1">
      <alignment horizontal="left"/>
    </xf>
    <xf numFmtId="0" fontId="11" fillId="33" borderId="67" xfId="30" applyFont="1" applyFill="1" applyBorder="1" applyAlignment="1">
      <alignment horizontal="left"/>
    </xf>
    <xf numFmtId="0" fontId="11" fillId="33" borderId="80" xfId="30" applyFont="1" applyFill="1" applyBorder="1" applyAlignment="1">
      <alignment horizontal="left"/>
    </xf>
    <xf numFmtId="0" fontId="11" fillId="33" borderId="68" xfId="30" applyFont="1" applyFill="1" applyBorder="1" applyAlignment="1">
      <alignment horizontal="left"/>
    </xf>
    <xf numFmtId="0" fontId="0" fillId="0" borderId="0" xfId="0"/>
  </cellXfs>
  <cellStyles count="136">
    <cellStyle name="20% – rõhk1" xfId="7" builtinId="30" customBuiltin="1"/>
    <cellStyle name="20% – rõhk2" xfId="11" builtinId="34" customBuiltin="1"/>
    <cellStyle name="20% – rõhk3" xfId="15" builtinId="38" customBuiltin="1"/>
    <cellStyle name="20% – rõhk4" xfId="19" builtinId="42" customBuiltin="1"/>
    <cellStyle name="20% – rõhk5" xfId="23" builtinId="46" customBuiltin="1"/>
    <cellStyle name="20% – rõhk6" xfId="27" builtinId="50" customBuiltin="1"/>
    <cellStyle name="40% – rõhk1" xfId="8" builtinId="31" customBuiltin="1"/>
    <cellStyle name="40% – rõhk2" xfId="12" builtinId="35" customBuiltin="1"/>
    <cellStyle name="40% – rõhk3" xfId="16" builtinId="39" customBuiltin="1"/>
    <cellStyle name="40% – rõhk4" xfId="20" builtinId="43" customBuiltin="1"/>
    <cellStyle name="40% – rõhk5" xfId="24" builtinId="47" customBuiltin="1"/>
    <cellStyle name="40% – rõhk6" xfId="28" builtinId="51" customBuiltin="1"/>
    <cellStyle name="60% – rõhk1" xfId="9" builtinId="32" customBuiltin="1"/>
    <cellStyle name="60% – rõhk2" xfId="13" builtinId="36" customBuiltin="1"/>
    <cellStyle name="60% – rõhk3" xfId="17" builtinId="40" customBuiltin="1"/>
    <cellStyle name="60% – rõhk4" xfId="21" builtinId="44" customBuiltin="1"/>
    <cellStyle name="60% – rõhk5" xfId="25" builtinId="48" customBuiltin="1"/>
    <cellStyle name="60% – rõhk6" xfId="29" builtinId="52" customBuiltin="1"/>
    <cellStyle name="Calculation 2" xfId="35"/>
    <cellStyle name="Calculation 3" xfId="34"/>
    <cellStyle name="Comma 2" xfId="36"/>
    <cellStyle name="Comma 2 2" xfId="132"/>
    <cellStyle name="Comma 3" xfId="31"/>
    <cellStyle name="Comma 3 2" xfId="131"/>
    <cellStyle name="Comma 4" xfId="48"/>
    <cellStyle name="Comma 4 2" xfId="133"/>
    <cellStyle name="Even" xfId="129"/>
    <cellStyle name="Explanatory Text 2" xfId="37"/>
    <cellStyle name="Followed Hyperlink 2" xfId="38"/>
    <cellStyle name="Grey" xfId="49"/>
    <cellStyle name="Halb" xfId="3" builtinId="27" customBuiltin="1"/>
    <cellStyle name="Hea" xfId="2" builtinId="26" customBuiltin="1"/>
    <cellStyle name="Hüperlink" xfId="62" builtinId="8"/>
    <cellStyle name="Hyperlink 2" xfId="32"/>
    <cellStyle name="Hyperlink 3" xfId="39"/>
    <cellStyle name="Input [yellow]" xfId="50"/>
    <cellStyle name="Input 10" xfId="66"/>
    <cellStyle name="Input 11" xfId="75"/>
    <cellStyle name="Input 12" xfId="77"/>
    <cellStyle name="Input 13" xfId="74"/>
    <cellStyle name="Input 14" xfId="79"/>
    <cellStyle name="Input 15" xfId="89"/>
    <cellStyle name="Input 16" xfId="69"/>
    <cellStyle name="Input 17" xfId="85"/>
    <cellStyle name="Input 18" xfId="68"/>
    <cellStyle name="Input 19" xfId="90"/>
    <cellStyle name="Input 2" xfId="40"/>
    <cellStyle name="Input 20" xfId="78"/>
    <cellStyle name="Input 21" xfId="93"/>
    <cellStyle name="Input 22" xfId="82"/>
    <cellStyle name="Input 23" xfId="98"/>
    <cellStyle name="Input 24" xfId="83"/>
    <cellStyle name="Input 25" xfId="99"/>
    <cellStyle name="Input 26" xfId="87"/>
    <cellStyle name="Input 27" xfId="100"/>
    <cellStyle name="Input 28" xfId="103"/>
    <cellStyle name="Input 29" xfId="101"/>
    <cellStyle name="Input 3" xfId="73"/>
    <cellStyle name="Input 30" xfId="104"/>
    <cellStyle name="Input 31" xfId="121"/>
    <cellStyle name="Input 4" xfId="67"/>
    <cellStyle name="Input 5" xfId="71"/>
    <cellStyle name="Input 6" xfId="65"/>
    <cellStyle name="Input 7" xfId="70"/>
    <cellStyle name="Input 8" xfId="64"/>
    <cellStyle name="Input 9" xfId="72"/>
    <cellStyle name="Input data" xfId="41"/>
    <cellStyle name="Kontrolli lahtrit" xfId="5" builtinId="23" customBuiltin="1"/>
    <cellStyle name="Linked Cell 2" xfId="42"/>
    <cellStyle name="Mudeli alamleht" xfId="128"/>
    <cellStyle name="Märkus" xfId="127" builtinId="10"/>
    <cellStyle name="Neutraalne" xfId="4" builtinId="28" customBuiltin="1"/>
    <cellStyle name="Normaali 2" xfId="134"/>
    <cellStyle name="Normaallaad" xfId="0" builtinId="0"/>
    <cellStyle name="Normal - Style1" xfId="51"/>
    <cellStyle name="Normal 10" xfId="81"/>
    <cellStyle name="Normal 11" xfId="84"/>
    <cellStyle name="Normal 12" xfId="86"/>
    <cellStyle name="Normal 13" xfId="88"/>
    <cellStyle name="Normal 14" xfId="91"/>
    <cellStyle name="Normal 15" xfId="92"/>
    <cellStyle name="Normal 16" xfId="94"/>
    <cellStyle name="Normal 17" xfId="96"/>
    <cellStyle name="Normal 18" xfId="97"/>
    <cellStyle name="Normal 19" xfId="95"/>
    <cellStyle name="Normal 2" xfId="33"/>
    <cellStyle name="Normal 20" xfId="102"/>
    <cellStyle name="Normal 21" xfId="105"/>
    <cellStyle name="Normal 22" xfId="106"/>
    <cellStyle name="Normal 23" xfId="107"/>
    <cellStyle name="Normal 24" xfId="108"/>
    <cellStyle name="Normal 25" xfId="109"/>
    <cellStyle name="Normal 26" xfId="110"/>
    <cellStyle name="Normal 27" xfId="111"/>
    <cellStyle name="Normal 28" xfId="112"/>
    <cellStyle name="Normal 29" xfId="113"/>
    <cellStyle name="Normal 3" xfId="47"/>
    <cellStyle name="Normal 30" xfId="114"/>
    <cellStyle name="Normal 31" xfId="115"/>
    <cellStyle name="Normal 32" xfId="116"/>
    <cellStyle name="Normal 33" xfId="117"/>
    <cellStyle name="Normal 34" xfId="118"/>
    <cellStyle name="Normal 35" xfId="120"/>
    <cellStyle name="Normal 36" xfId="122"/>
    <cellStyle name="Normal 4" xfId="30"/>
    <cellStyle name="Normal 5" xfId="58"/>
    <cellStyle name="Normal 6" xfId="60"/>
    <cellStyle name="Normal 7" xfId="63"/>
    <cellStyle name="Normal 8" xfId="76"/>
    <cellStyle name="Normal 9" xfId="80"/>
    <cellStyle name="Note 2" xfId="43"/>
    <cellStyle name="Odd" xfId="130"/>
    <cellStyle name="Output 2" xfId="44"/>
    <cellStyle name="Pealkiri" xfId="1" builtinId="15" customBuiltin="1"/>
    <cellStyle name="Pealkiri 1" xfId="124" builtinId="16" customBuiltin="1"/>
    <cellStyle name="Pealkiri 2" xfId="125" builtinId="17" customBuiltin="1"/>
    <cellStyle name="Percent [2]" xfId="53"/>
    <cellStyle name="Percent 2" xfId="52"/>
    <cellStyle name="Percent 3" xfId="59"/>
    <cellStyle name="Percent 4" xfId="61"/>
    <cellStyle name="Percent 5" xfId="123"/>
    <cellStyle name="Protsent" xfId="135" builtinId="5"/>
    <cellStyle name="Rõhk1" xfId="6" builtinId="29" customBuiltin="1"/>
    <cellStyle name="Rõhk2" xfId="10" builtinId="33" customBuiltin="1"/>
    <cellStyle name="Rõhk3" xfId="14" builtinId="37" customBuiltin="1"/>
    <cellStyle name="Rõhk4" xfId="18" builtinId="41" customBuiltin="1"/>
    <cellStyle name="Rõhk5" xfId="22" builtinId="45" customBuiltin="1"/>
    <cellStyle name="Rõhk6" xfId="26" builtinId="49" customBuiltin="1"/>
    <cellStyle name="Selection" xfId="45"/>
    <cellStyle name="Sisestus" xfId="126" builtinId="20" customBuiltin="1"/>
    <cellStyle name="Tusental (0)_pldt" xfId="54"/>
    <cellStyle name="Tusental_pldt" xfId="55"/>
    <cellStyle name="Valuta (0)_pldt" xfId="56"/>
    <cellStyle name="Valuta_pldt" xfId="57"/>
    <cellStyle name="Warning Text 2" xfId="46"/>
    <cellStyle name="WRI tabel head" xfId="119"/>
  </cellStyles>
  <dxfs count="149">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ont>
        <b/>
        <i/>
        <color theme="0"/>
      </font>
      <fill>
        <patternFill>
          <bgColor rgb="FFFF0000"/>
        </patternFill>
      </fill>
    </dxf>
    <dxf>
      <fill>
        <patternFill patternType="none">
          <bgColor auto="1"/>
        </patternFill>
      </fill>
    </dxf>
    <dxf>
      <font>
        <b/>
        <i/>
        <color theme="0"/>
      </font>
      <fill>
        <patternFill>
          <bgColor rgb="FFFF0000"/>
        </patternFill>
      </fill>
    </dxf>
    <dxf>
      <fill>
        <patternFill patternType="none">
          <bgColor auto="1"/>
        </patternFill>
      </fill>
    </dxf>
    <dxf>
      <font>
        <b/>
        <i/>
        <color theme="0"/>
      </font>
      <fill>
        <patternFill>
          <bgColor rgb="FFFF0000"/>
        </patternFill>
      </fill>
    </dxf>
    <dxf>
      <fill>
        <patternFill patternType="none">
          <bgColor auto="1"/>
        </patternFill>
      </fill>
    </dxf>
    <dxf>
      <fill>
        <patternFill patternType="none">
          <bgColor auto="1"/>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ill>
        <patternFill patternType="none">
          <bgColor auto="1"/>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ill>
        <patternFill patternType="none">
          <bgColor auto="1"/>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ill>
        <patternFill patternType="none">
          <bgColor auto="1"/>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ill>
        <patternFill patternType="none">
          <bgColor auto="1"/>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ill>
        <patternFill patternType="none">
          <bgColor auto="1"/>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Gray"/>
      </fill>
    </dxf>
    <dxf>
      <fill>
        <patternFill patternType="lightGray"/>
      </fill>
    </dxf>
    <dxf>
      <fill>
        <patternFill patternType="lightGray"/>
      </fill>
    </dxf>
    <dxf>
      <fill>
        <patternFill patternType="lightGray"/>
      </fill>
    </dxf>
    <dxf>
      <fill>
        <patternFill patternType="lightGray"/>
      </fill>
    </dxf>
    <dxf>
      <font>
        <b/>
        <i/>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Gray"/>
      </fill>
    </dxf>
    <dxf>
      <fill>
        <patternFill patternType="lightGray"/>
      </fill>
    </dxf>
    <dxf>
      <fill>
        <patternFill patternType="lightGray"/>
      </fill>
    </dxf>
    <dxf>
      <fill>
        <patternFill patternType="lightGray"/>
      </fill>
    </dxf>
    <dxf>
      <fill>
        <patternFill patternType="lightGray"/>
      </fill>
    </dxf>
    <dxf>
      <font>
        <b/>
        <i/>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Gray"/>
      </fill>
    </dxf>
    <dxf>
      <fill>
        <patternFill patternType="lightGray"/>
      </fill>
    </dxf>
    <dxf>
      <fill>
        <patternFill patternType="lightGray"/>
      </fill>
    </dxf>
    <dxf>
      <fill>
        <patternFill patternType="lightGray"/>
      </fill>
    </dxf>
    <dxf>
      <fill>
        <patternFill patternType="lightGray"/>
      </fill>
    </dxf>
    <dxf>
      <font>
        <b/>
        <i/>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colors>
    <mruColors>
      <color rgb="FF548235"/>
      <color rgb="FFBFF9B5"/>
      <color rgb="FFFFFFCC"/>
      <color rgb="FFB2B2B2"/>
      <color rgb="FFD9E1F2"/>
      <color rgb="FFE1FFF6"/>
      <color rgb="FF00B180"/>
      <color rgb="FF758AA7"/>
      <color rgb="FF44546A"/>
      <color rgb="FF00EE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a:t>KHG</a:t>
            </a:r>
            <a:r>
              <a:rPr lang="et-EE" sz="1400"/>
              <a:t> JALAJÄLG (t CO</a:t>
            </a:r>
            <a:r>
              <a:rPr lang="et-EE" sz="1400" baseline="-25000"/>
              <a:t>2</a:t>
            </a:r>
            <a:r>
              <a:rPr lang="et-EE" sz="1400"/>
              <a:t> ekv) AASTATE VÕRDLUSES</a:t>
            </a:r>
            <a:endParaRPr lang="en-US" sz="1400"/>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clustered"/>
        <c:varyColors val="0"/>
        <c:ser>
          <c:idx val="0"/>
          <c:order val="0"/>
          <c:tx>
            <c:strRef>
              <c:f>TULEMUSED!$C$11</c:f>
              <c:strCache>
                <c:ptCount val="1"/>
                <c:pt idx="0">
                  <c:v>Mõjuala 1 kokku</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TULEMUSED!$D$7:$H$7</c:f>
              <c:numCache>
                <c:formatCode>General</c:formatCode>
                <c:ptCount val="5"/>
                <c:pt idx="0">
                  <c:v>2021</c:v>
                </c:pt>
                <c:pt idx="1">
                  <c:v>2022</c:v>
                </c:pt>
                <c:pt idx="2">
                  <c:v>2023</c:v>
                </c:pt>
                <c:pt idx="3">
                  <c:v>0</c:v>
                </c:pt>
                <c:pt idx="4">
                  <c:v>0</c:v>
                </c:pt>
              </c:numCache>
            </c:numRef>
          </c:cat>
          <c:val>
            <c:numRef>
              <c:f>TULEMUSED!$D$11:$H$11</c:f>
              <c:numCache>
                <c:formatCode>0.00</c:formatCode>
                <c:ptCount val="5"/>
                <c:pt idx="0">
                  <c:v>123.94593635492591</c:v>
                </c:pt>
                <c:pt idx="1">
                  <c:v>1.1015094237981751</c:v>
                </c:pt>
                <c:pt idx="2">
                  <c:v>4.8506635193647792E-2</c:v>
                </c:pt>
                <c:pt idx="3">
                  <c:v>0</c:v>
                </c:pt>
                <c:pt idx="4">
                  <c:v>0</c:v>
                </c:pt>
              </c:numCache>
            </c:numRef>
          </c:val>
          <c:extLst xmlns:c16r2="http://schemas.microsoft.com/office/drawing/2015/06/chart">
            <c:ext xmlns:c16="http://schemas.microsoft.com/office/drawing/2014/chart" uri="{C3380CC4-5D6E-409C-BE32-E72D297353CC}">
              <c16:uniqueId val="{00000000-595D-4F72-B3F9-0D5C047A5DAD}"/>
            </c:ext>
          </c:extLst>
        </c:ser>
        <c:ser>
          <c:idx val="1"/>
          <c:order val="1"/>
          <c:tx>
            <c:strRef>
              <c:f>TULEMUSED!$C$14</c:f>
              <c:strCache>
                <c:ptCount val="1"/>
                <c:pt idx="0">
                  <c:v>Mõjuala 2 kokku</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TULEMUSED!$D$7:$H$7</c:f>
              <c:numCache>
                <c:formatCode>General</c:formatCode>
                <c:ptCount val="5"/>
                <c:pt idx="0">
                  <c:v>2021</c:v>
                </c:pt>
                <c:pt idx="1">
                  <c:v>2022</c:v>
                </c:pt>
                <c:pt idx="2">
                  <c:v>2023</c:v>
                </c:pt>
                <c:pt idx="3">
                  <c:v>0</c:v>
                </c:pt>
                <c:pt idx="4">
                  <c:v>0</c:v>
                </c:pt>
              </c:numCache>
            </c:numRef>
          </c:cat>
          <c:val>
            <c:numRef>
              <c:f>TULEMUSED!$D$14:$H$14</c:f>
              <c:numCache>
                <c:formatCode>0.00</c:formatCode>
                <c:ptCount val="5"/>
                <c:pt idx="0">
                  <c:v>58.640785730971338</c:v>
                </c:pt>
                <c:pt idx="1">
                  <c:v>48.600508366954493</c:v>
                </c:pt>
                <c:pt idx="2">
                  <c:v>6.8282938397882598</c:v>
                </c:pt>
                <c:pt idx="3">
                  <c:v>0</c:v>
                </c:pt>
                <c:pt idx="4">
                  <c:v>0</c:v>
                </c:pt>
              </c:numCache>
            </c:numRef>
          </c:val>
          <c:extLst xmlns:c16r2="http://schemas.microsoft.com/office/drawing/2015/06/chart">
            <c:ext xmlns:c16="http://schemas.microsoft.com/office/drawing/2014/chart" uri="{C3380CC4-5D6E-409C-BE32-E72D297353CC}">
              <c16:uniqueId val="{00000001-595D-4F72-B3F9-0D5C047A5DAD}"/>
            </c:ext>
          </c:extLst>
        </c:ser>
        <c:ser>
          <c:idx val="2"/>
          <c:order val="2"/>
          <c:tx>
            <c:strRef>
              <c:f>TULEMUSED!$C$23</c:f>
              <c:strCache>
                <c:ptCount val="1"/>
                <c:pt idx="0">
                  <c:v>Mõjuala 3 kokku</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TULEMUSED!$D$7:$H$7</c:f>
              <c:numCache>
                <c:formatCode>General</c:formatCode>
                <c:ptCount val="5"/>
                <c:pt idx="0">
                  <c:v>2021</c:v>
                </c:pt>
                <c:pt idx="1">
                  <c:v>2022</c:v>
                </c:pt>
                <c:pt idx="2">
                  <c:v>2023</c:v>
                </c:pt>
                <c:pt idx="3">
                  <c:v>0</c:v>
                </c:pt>
                <c:pt idx="4">
                  <c:v>0</c:v>
                </c:pt>
              </c:numCache>
            </c:numRef>
          </c:cat>
          <c:val>
            <c:numRef>
              <c:f>TULEMUSED!$D$23:$H$23</c:f>
              <c:numCache>
                <c:formatCode>0.00</c:formatCode>
                <c:ptCount val="5"/>
                <c:pt idx="0">
                  <c:v>257.88117026147637</c:v>
                </c:pt>
                <c:pt idx="1">
                  <c:v>13.897623636079905</c:v>
                </c:pt>
                <c:pt idx="2">
                  <c:v>0</c:v>
                </c:pt>
                <c:pt idx="3">
                  <c:v>0</c:v>
                </c:pt>
                <c:pt idx="4">
                  <c:v>0</c:v>
                </c:pt>
              </c:numCache>
            </c:numRef>
          </c:val>
          <c:extLst xmlns:c16r2="http://schemas.microsoft.com/office/drawing/2015/06/chart">
            <c:ext xmlns:c16="http://schemas.microsoft.com/office/drawing/2014/chart" uri="{C3380CC4-5D6E-409C-BE32-E72D297353CC}">
              <c16:uniqueId val="{00000002-595D-4F72-B3F9-0D5C047A5DAD}"/>
            </c:ext>
          </c:extLst>
        </c:ser>
        <c:dLbls>
          <c:showLegendKey val="0"/>
          <c:showVal val="0"/>
          <c:showCatName val="0"/>
          <c:showSerName val="0"/>
          <c:showPercent val="0"/>
          <c:showBubbleSize val="0"/>
        </c:dLbls>
        <c:gapWidth val="100"/>
        <c:overlap val="-24"/>
        <c:axId val="1629115232"/>
        <c:axId val="1629116320"/>
      </c:barChart>
      <c:catAx>
        <c:axId val="16291152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629116320"/>
        <c:crosses val="autoZero"/>
        <c:auto val="1"/>
        <c:lblAlgn val="ctr"/>
        <c:lblOffset val="100"/>
        <c:noMultiLvlLbl val="0"/>
      </c:catAx>
      <c:valAx>
        <c:axId val="16291163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629115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t-EE" sz="1400"/>
              <a:t>KHG JALAJÄLG</a:t>
            </a:r>
            <a:endParaRPr lang="en-US" sz="1400"/>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0.28771806649168852"/>
          <c:y val="0.13256832406438707"/>
          <c:w val="0.41345297462817154"/>
          <c:h val="0.69390709028504316"/>
        </c:manualLayout>
      </c:layout>
      <c:pieChart>
        <c:varyColors val="1"/>
        <c:ser>
          <c:idx val="0"/>
          <c:order val="0"/>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FC59-4781-8859-6BB55E743B7C}"/>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FC59-4781-8859-6BB55E743B7C}"/>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5-FC59-4781-8859-6BB55E743B7C}"/>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(TULEMUSED!$C$11,TULEMUSED!$C$14,TULEMUSED!$C$23)</c:f>
              <c:strCache>
                <c:ptCount val="3"/>
                <c:pt idx="0">
                  <c:v>Mõjuala 1 kokku</c:v>
                </c:pt>
                <c:pt idx="1">
                  <c:v>Mõjuala 2 kokku</c:v>
                </c:pt>
                <c:pt idx="2">
                  <c:v>Mõjuala 3 kokku</c:v>
                </c:pt>
              </c:strCache>
            </c:strRef>
          </c:cat>
          <c:val>
            <c:numRef>
              <c:f>(TULEMUSED!$Y$36,TULEMUSED!$Y$37,TULEMUSED!$Y$38)</c:f>
              <c:numCache>
                <c:formatCode>0.00</c:formatCode>
                <c:ptCount val="3"/>
                <c:pt idx="0">
                  <c:v>123.94593635492591</c:v>
                </c:pt>
                <c:pt idx="1">
                  <c:v>58.640785730971338</c:v>
                </c:pt>
                <c:pt idx="2">
                  <c:v>257.88117026147637</c:v>
                </c:pt>
              </c:numCache>
            </c:numRef>
          </c:val>
          <c:extLst xmlns:c16r2="http://schemas.microsoft.com/office/drawing/2015/06/chart">
            <c:ext xmlns:c16="http://schemas.microsoft.com/office/drawing/2014/chart" uri="{C3380CC4-5D6E-409C-BE32-E72D297353CC}">
              <c16:uniqueId val="{00000000-53C7-4AFC-A74D-1EAF358D4AA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t-EE" sz="1400"/>
              <a:t>ÜKSUSE 1 KHG JALAJÄLG (t CO</a:t>
            </a:r>
            <a:r>
              <a:rPr lang="et-EE" sz="1400" baseline="-25000"/>
              <a:t>2</a:t>
            </a:r>
            <a:r>
              <a:rPr lang="et-EE" sz="1400"/>
              <a:t> ekv) </a:t>
            </a:r>
            <a:endParaRPr lang="en-US" sz="1400"/>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clustered"/>
        <c:varyColors val="0"/>
        <c:ser>
          <c:idx val="0"/>
          <c:order val="0"/>
          <c:tx>
            <c:strRef>
              <c:f>TULEMUSED!$C$38</c:f>
              <c:strCache>
                <c:ptCount val="1"/>
                <c:pt idx="0">
                  <c:v>Mõjuala 1 kokku</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TULEMUSED!$Y$69</c:f>
              <c:numCache>
                <c:formatCode>0.00</c:formatCode>
                <c:ptCount val="1"/>
                <c:pt idx="0">
                  <c:v>59.889523126812605</c:v>
                </c:pt>
              </c:numCache>
            </c:numRef>
          </c:val>
          <c:extLst xmlns:c16r2="http://schemas.microsoft.com/office/drawing/2015/06/chart">
            <c:ext xmlns:c16="http://schemas.microsoft.com/office/drawing/2014/chart" uri="{C3380CC4-5D6E-409C-BE32-E72D297353CC}">
              <c16:uniqueId val="{00000000-326A-4C75-8863-D23B06F20CDA}"/>
            </c:ext>
          </c:extLst>
        </c:ser>
        <c:ser>
          <c:idx val="1"/>
          <c:order val="1"/>
          <c:tx>
            <c:strRef>
              <c:f>TULEMUSED!$C$41</c:f>
              <c:strCache>
                <c:ptCount val="1"/>
                <c:pt idx="0">
                  <c:v>Mõjuala 2 kokku</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TULEMUSED!$Y$70</c:f>
              <c:numCache>
                <c:formatCode>0.00</c:formatCode>
                <c:ptCount val="1"/>
                <c:pt idx="0">
                  <c:v>58.32249573097134</c:v>
                </c:pt>
              </c:numCache>
            </c:numRef>
          </c:val>
          <c:extLst xmlns:c16r2="http://schemas.microsoft.com/office/drawing/2015/06/chart">
            <c:ext xmlns:c16="http://schemas.microsoft.com/office/drawing/2014/chart" uri="{C3380CC4-5D6E-409C-BE32-E72D297353CC}">
              <c16:uniqueId val="{00000001-326A-4C75-8863-D23B06F20CDA}"/>
            </c:ext>
          </c:extLst>
        </c:ser>
        <c:ser>
          <c:idx val="2"/>
          <c:order val="2"/>
          <c:tx>
            <c:strRef>
              <c:f>TULEMUSED!$C$50</c:f>
              <c:strCache>
                <c:ptCount val="1"/>
                <c:pt idx="0">
                  <c:v>Mõjuala 3 kokku</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TULEMUSED!$Y$71</c:f>
              <c:numCache>
                <c:formatCode>0.00</c:formatCode>
                <c:ptCount val="1"/>
                <c:pt idx="0">
                  <c:v>155.6335750673417</c:v>
                </c:pt>
              </c:numCache>
            </c:numRef>
          </c:val>
          <c:extLst xmlns:c16r2="http://schemas.microsoft.com/office/drawing/2015/06/chart">
            <c:ext xmlns:c16="http://schemas.microsoft.com/office/drawing/2014/chart" uri="{C3380CC4-5D6E-409C-BE32-E72D297353CC}">
              <c16:uniqueId val="{00000002-326A-4C75-8863-D23B06F20CDA}"/>
            </c:ext>
          </c:extLst>
        </c:ser>
        <c:dLbls>
          <c:dLblPos val="outEnd"/>
          <c:showLegendKey val="0"/>
          <c:showVal val="1"/>
          <c:showCatName val="0"/>
          <c:showSerName val="0"/>
          <c:showPercent val="0"/>
          <c:showBubbleSize val="0"/>
        </c:dLbls>
        <c:gapWidth val="100"/>
        <c:overlap val="-24"/>
        <c:axId val="1629119584"/>
        <c:axId val="1629124480"/>
      </c:barChart>
      <c:catAx>
        <c:axId val="1629119584"/>
        <c:scaling>
          <c:orientation val="minMax"/>
        </c:scaling>
        <c:delete val="1"/>
        <c:axPos val="b"/>
        <c:majorTickMark val="none"/>
        <c:minorTickMark val="none"/>
        <c:tickLblPos val="nextTo"/>
        <c:crossAx val="1629124480"/>
        <c:crosses val="autoZero"/>
        <c:auto val="1"/>
        <c:lblAlgn val="ctr"/>
        <c:lblOffset val="100"/>
        <c:noMultiLvlLbl val="0"/>
      </c:catAx>
      <c:valAx>
        <c:axId val="16291244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629119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t-EE" sz="1400" b="1" i="0" baseline="0">
                <a:effectLst/>
              </a:rPr>
              <a:t>ÜKSUSE 2 KHG JALAJÄLG (t CO</a:t>
            </a:r>
            <a:r>
              <a:rPr lang="et-EE" sz="1400" b="1" i="0" baseline="-25000">
                <a:effectLst/>
              </a:rPr>
              <a:t>2</a:t>
            </a:r>
            <a:r>
              <a:rPr lang="et-EE" sz="1400" b="1" i="0" baseline="0">
                <a:effectLst/>
              </a:rPr>
              <a:t> ekv) </a:t>
            </a:r>
            <a:endParaRPr lang="en-US" sz="1400">
              <a:effectLst/>
            </a:endParaRP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clustered"/>
        <c:varyColors val="0"/>
        <c:ser>
          <c:idx val="0"/>
          <c:order val="0"/>
          <c:tx>
            <c:strRef>
              <c:f>TULEMUSED!$C$61</c:f>
              <c:strCache>
                <c:ptCount val="1"/>
                <c:pt idx="0">
                  <c:v>Mõjuala 1 kokku</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TULEMUSED!$Y$90</c:f>
              <c:numCache>
                <c:formatCode>0.00</c:formatCode>
                <c:ptCount val="1"/>
                <c:pt idx="0">
                  <c:v>43.045612488141131</c:v>
                </c:pt>
              </c:numCache>
            </c:numRef>
          </c:val>
          <c:extLst xmlns:c16r2="http://schemas.microsoft.com/office/drawing/2015/06/chart">
            <c:ext xmlns:c16="http://schemas.microsoft.com/office/drawing/2014/chart" uri="{C3380CC4-5D6E-409C-BE32-E72D297353CC}">
              <c16:uniqueId val="{00000000-F576-4DA9-8E5D-4E235F822E9E}"/>
            </c:ext>
          </c:extLst>
        </c:ser>
        <c:ser>
          <c:idx val="1"/>
          <c:order val="1"/>
          <c:tx>
            <c:strRef>
              <c:f>TULEMUSED!$C$64</c:f>
              <c:strCache>
                <c:ptCount val="1"/>
                <c:pt idx="0">
                  <c:v>Mõjuala 2 kokku</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TULEMUSED!$Y$91</c:f>
              <c:numCache>
                <c:formatCode>0.00</c:formatCode>
                <c:ptCount val="1"/>
                <c:pt idx="0">
                  <c:v>0.31829000000000002</c:v>
                </c:pt>
              </c:numCache>
            </c:numRef>
          </c:val>
          <c:extLst xmlns:c16r2="http://schemas.microsoft.com/office/drawing/2015/06/chart">
            <c:ext xmlns:c16="http://schemas.microsoft.com/office/drawing/2014/chart" uri="{C3380CC4-5D6E-409C-BE32-E72D297353CC}">
              <c16:uniqueId val="{00000001-F576-4DA9-8E5D-4E235F822E9E}"/>
            </c:ext>
          </c:extLst>
        </c:ser>
        <c:ser>
          <c:idx val="2"/>
          <c:order val="2"/>
          <c:tx>
            <c:strRef>
              <c:f>TULEMUSED!$C$73</c:f>
              <c:strCache>
                <c:ptCount val="1"/>
                <c:pt idx="0">
                  <c:v>Mõjuala 3 kokku</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TULEMUSED!$Y$92</c:f>
              <c:numCache>
                <c:formatCode>0.00</c:formatCode>
                <c:ptCount val="1"/>
                <c:pt idx="0">
                  <c:v>28.628257845508308</c:v>
                </c:pt>
              </c:numCache>
            </c:numRef>
          </c:val>
          <c:extLst xmlns:c16r2="http://schemas.microsoft.com/office/drawing/2015/06/chart">
            <c:ext xmlns:c16="http://schemas.microsoft.com/office/drawing/2014/chart" uri="{C3380CC4-5D6E-409C-BE32-E72D297353CC}">
              <c16:uniqueId val="{00000002-F576-4DA9-8E5D-4E235F822E9E}"/>
            </c:ext>
          </c:extLst>
        </c:ser>
        <c:dLbls>
          <c:dLblPos val="outEnd"/>
          <c:showLegendKey val="0"/>
          <c:showVal val="1"/>
          <c:showCatName val="0"/>
          <c:showSerName val="0"/>
          <c:showPercent val="0"/>
          <c:showBubbleSize val="0"/>
        </c:dLbls>
        <c:gapWidth val="100"/>
        <c:overlap val="-24"/>
        <c:axId val="1629120672"/>
        <c:axId val="1629125024"/>
      </c:barChart>
      <c:catAx>
        <c:axId val="1629120672"/>
        <c:scaling>
          <c:orientation val="minMax"/>
        </c:scaling>
        <c:delete val="1"/>
        <c:axPos val="b"/>
        <c:numFmt formatCode="General" sourceLinked="1"/>
        <c:majorTickMark val="none"/>
        <c:minorTickMark val="none"/>
        <c:tickLblPos val="nextTo"/>
        <c:crossAx val="1629125024"/>
        <c:crosses val="autoZero"/>
        <c:auto val="1"/>
        <c:lblAlgn val="ctr"/>
        <c:lblOffset val="100"/>
        <c:noMultiLvlLbl val="0"/>
      </c:catAx>
      <c:valAx>
        <c:axId val="16291250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629120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t-EE" sz="1400" b="1" i="0" baseline="0">
                <a:effectLst/>
              </a:rPr>
              <a:t>ÜKSUSE 3 KHG JALAJÄLG (t CO</a:t>
            </a:r>
            <a:r>
              <a:rPr lang="et-EE" sz="1400" b="1" i="0" baseline="-25000">
                <a:effectLst/>
              </a:rPr>
              <a:t>2</a:t>
            </a:r>
            <a:r>
              <a:rPr lang="et-EE" sz="1400" b="1" i="0" baseline="0">
                <a:effectLst/>
              </a:rPr>
              <a:t> ekv) </a:t>
            </a:r>
            <a:endParaRPr lang="en-US" sz="1400">
              <a:effectLst/>
            </a:endParaRP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clustered"/>
        <c:varyColors val="0"/>
        <c:ser>
          <c:idx val="0"/>
          <c:order val="0"/>
          <c:tx>
            <c:strRef>
              <c:f>TULEMUSED!$C$84</c:f>
              <c:strCache>
                <c:ptCount val="1"/>
                <c:pt idx="0">
                  <c:v>Mõjuala 1 kokku</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TULEMUSED!$Y$110</c:f>
              <c:numCache>
                <c:formatCode>0.00</c:formatCode>
                <c:ptCount val="1"/>
                <c:pt idx="0">
                  <c:v>21.010800739972169</c:v>
                </c:pt>
              </c:numCache>
            </c:numRef>
          </c:val>
          <c:extLst xmlns:c16r2="http://schemas.microsoft.com/office/drawing/2015/06/chart">
            <c:ext xmlns:c16="http://schemas.microsoft.com/office/drawing/2014/chart" uri="{C3380CC4-5D6E-409C-BE32-E72D297353CC}">
              <c16:uniqueId val="{00000000-0E87-4743-B782-BD0074D649EB}"/>
            </c:ext>
          </c:extLst>
        </c:ser>
        <c:ser>
          <c:idx val="1"/>
          <c:order val="1"/>
          <c:tx>
            <c:strRef>
              <c:f>TULEMUSED!$C$87</c:f>
              <c:strCache>
                <c:ptCount val="1"/>
                <c:pt idx="0">
                  <c:v>Mõjuala 2 kokku</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TULEMUSED!$Y$111</c:f>
              <c:numCache>
                <c:formatCode>0.00</c:formatCode>
                <c:ptCount val="1"/>
                <c:pt idx="0">
                  <c:v>0</c:v>
                </c:pt>
              </c:numCache>
            </c:numRef>
          </c:val>
          <c:extLst xmlns:c16r2="http://schemas.microsoft.com/office/drawing/2015/06/chart">
            <c:ext xmlns:c16="http://schemas.microsoft.com/office/drawing/2014/chart" uri="{C3380CC4-5D6E-409C-BE32-E72D297353CC}">
              <c16:uniqueId val="{00000001-0E87-4743-B782-BD0074D649EB}"/>
            </c:ext>
          </c:extLst>
        </c:ser>
        <c:ser>
          <c:idx val="2"/>
          <c:order val="2"/>
          <c:tx>
            <c:strRef>
              <c:f>TULEMUSED!$C$96</c:f>
              <c:strCache>
                <c:ptCount val="1"/>
                <c:pt idx="0">
                  <c:v>Mõjuala 3 kokku</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TULEMUSED!$Y$112</c:f>
              <c:numCache>
                <c:formatCode>0.00</c:formatCode>
                <c:ptCount val="1"/>
                <c:pt idx="0">
                  <c:v>74.616337348626345</c:v>
                </c:pt>
              </c:numCache>
            </c:numRef>
          </c:val>
          <c:extLst xmlns:c16r2="http://schemas.microsoft.com/office/drawing/2015/06/chart">
            <c:ext xmlns:c16="http://schemas.microsoft.com/office/drawing/2014/chart" uri="{C3380CC4-5D6E-409C-BE32-E72D297353CC}">
              <c16:uniqueId val="{00000002-0E87-4743-B782-BD0074D649EB}"/>
            </c:ext>
          </c:extLst>
        </c:ser>
        <c:dLbls>
          <c:dLblPos val="outEnd"/>
          <c:showLegendKey val="0"/>
          <c:showVal val="1"/>
          <c:showCatName val="0"/>
          <c:showSerName val="0"/>
          <c:showPercent val="0"/>
          <c:showBubbleSize val="0"/>
        </c:dLbls>
        <c:gapWidth val="100"/>
        <c:overlap val="-24"/>
        <c:axId val="1629126112"/>
        <c:axId val="1629119040"/>
      </c:barChart>
      <c:catAx>
        <c:axId val="1629126112"/>
        <c:scaling>
          <c:orientation val="minMax"/>
        </c:scaling>
        <c:delete val="1"/>
        <c:axPos val="b"/>
        <c:numFmt formatCode="General" sourceLinked="1"/>
        <c:majorTickMark val="none"/>
        <c:minorTickMark val="none"/>
        <c:tickLblPos val="nextTo"/>
        <c:crossAx val="1629119040"/>
        <c:crosses val="autoZero"/>
        <c:auto val="1"/>
        <c:lblAlgn val="ctr"/>
        <c:lblOffset val="100"/>
        <c:noMultiLvlLbl val="0"/>
      </c:catAx>
      <c:valAx>
        <c:axId val="162911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629126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size">
        <cx:f>_xlchart.v1.0</cx:f>
      </cx:numDim>
    </cx:data>
  </cx:chartData>
  <cx:chart>
    <cx:title pos="t" align="ctr" overlay="0">
      <cx:tx>
        <cx:txData>
          <cx:v>KHG JALAJÄLG</cx:v>
        </cx:txData>
      </cx:tx>
      <cx:txPr>
        <a:bodyPr spcFirstLastPara="1" vertOverflow="ellipsis" horzOverflow="overflow" wrap="square" lIns="0" tIns="0" rIns="0" bIns="0" anchor="ctr" anchorCtr="1"/>
        <a:lstStyle/>
        <a:p>
          <a:pPr algn="ctr" rtl="0">
            <a:defRPr/>
          </a:pPr>
          <a:r>
            <a:rPr lang="et-EE" sz="1600" b="1" i="0" u="none" strike="noStrike" baseline="0">
              <a:solidFill>
                <a:srgbClr val="44546A"/>
              </a:solidFill>
              <a:latin typeface="Calibri" panose="020F0502020204030204"/>
            </a:rPr>
            <a:t>KHG JALAJÄLG</a:t>
          </a:r>
        </a:p>
      </cx:txPr>
    </cx:title>
    <cx:plotArea>
      <cx:plotAreaRegion>
        <cx:series layoutId="sunburst" uniqueId="{73DCE236-CE35-4025-AB48-D5A7A7C3AAFC}">
          <cx:dataLabels>
            <cx:numFmt formatCode="0,0%" sourceLinked="0"/>
            <cx:visibility seriesName="0" categoryName="1" value="1"/>
            <cx:separator>, </cx:separator>
          </cx:dataLabels>
          <cx:dataId val="0"/>
        </cx:series>
      </cx:plotAreaRegion>
    </cx:plotArea>
  </cx:chart>
  <cx:spPr>
    <a:ln>
      <a:noFill/>
    </a:ln>
  </cx:spPr>
</cx: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85">
  <cs:axisTitle>
    <cs:lnRef idx="0"/>
    <cs:fillRef idx="0"/>
    <cs:effectRef idx="0"/>
    <cs:fontRef idx="minor">
      <a:schemeClr val="tx2"/>
    </cs:fontRef>
    <cs:defRPr sz="9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cs:chartArea>
  <cs:dataLabel>
    <cs:lnRef idx="0"/>
    <cs:fillRef idx="0"/>
    <cs:effectRef idx="0"/>
    <cs:fontRef idx="minor">
      <a:schemeClr val="lt1"/>
    </cs:fontRef>
    <cs:defRPr sz="9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2"/>
    </cs:fontRef>
    <cs:spPr>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ln>
        <a:solidFill>
          <a:schemeClr val="bg1"/>
        </a:solidFill>
      </a:ln>
    </cs:spPr>
  </cs:dataPoint>
  <cs:dataPoint3D>
    <cs:lnRef idx="0"/>
    <cs:fillRef idx="0">
      <cs:styleClr val="auto"/>
    </cs:fillRef>
    <cs:effectRef idx="0"/>
    <cs:fontRef idx="minor">
      <a:schemeClr val="tx2"/>
    </cs:fontRef>
    <cs:spPr>
      <a:solidFill>
        <a:schemeClr val="phClr"/>
      </a:solidFill>
    </cs:spPr>
  </cs:dataPoint3D>
  <cs:dataPointLine>
    <cs:lnRef idx="0">
      <cs:styleClr val="auto"/>
    </cs:lnRef>
    <cs:fillRef idx="0"/>
    <cs:effectRef idx="0"/>
    <cs:fontRef idx="minor">
      <a:schemeClr val="tx2"/>
    </cs:fontRef>
    <cs:spPr>
      <a:ln w="28575" cap="rnd">
        <a:solidFill>
          <a:schemeClr val="phClr"/>
        </a:solidFill>
        <a:round/>
      </a:ln>
    </cs:spPr>
  </cs:dataPointLine>
  <cs:dataPointMarker>
    <cs:lnRef idx="0"/>
    <cs:fillRef idx="0">
      <cs:styleClr val="auto"/>
    </cs:fillRef>
    <cs:effectRef idx="0"/>
    <cs:fontRef idx="minor">
      <a:schemeClr val="tx2"/>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2"/>
    </cs:fontRef>
    <cs:spPr>
      <a:ln w="2857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2"/>
    </cs:fontRef>
    <cs:defRPr sz="9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cs:seriesAxis>
  <cs:seriesLine>
    <cs:lnRef idx="0"/>
    <cs:fillRef idx="0"/>
    <cs:effectRef idx="0"/>
    <cs:fontRef idx="minor">
      <a:schemeClr val="tx2"/>
    </cs:fontRef>
    <cs:spPr>
      <a:ln w="9525" cap="flat">
        <a:solidFill>
          <a:srgbClr val="D9D9D9"/>
        </a:solidFill>
        <a:round/>
      </a:ln>
    </cs:spPr>
  </cs:seriesLine>
  <cs:title>
    <cs:lnRef idx="0"/>
    <cs:fillRef idx="0"/>
    <cs:effectRef idx="0"/>
    <cs:fontRef idx="minor">
      <a:schemeClr val="tx2"/>
    </cs:fontRef>
    <cs:defRPr sz="1600" b="1"/>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14/relationships/chartEx" Target="../charts/chartEx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391272</xdr:colOff>
      <xdr:row>50</xdr:row>
      <xdr:rowOff>0</xdr:rowOff>
    </xdr:from>
    <xdr:to>
      <xdr:col>1</xdr:col>
      <xdr:colOff>897256</xdr:colOff>
      <xdr:row>55</xdr:row>
      <xdr:rowOff>118989</xdr:rowOff>
    </xdr:to>
    <xdr:pic>
      <xdr:nvPicPr>
        <xdr:cNvPr id="19" name="Pilt 2">
          <a:extLst>
            <a:ext uri="{FF2B5EF4-FFF2-40B4-BE49-F238E27FC236}">
              <a16:creationId xmlns:a16="http://schemas.microsoft.com/office/drawing/2014/main" xmlns="" id="{14374492-B574-3F6B-81B4-C590B14287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272" y="13449300"/>
          <a:ext cx="970804" cy="1051381"/>
        </a:xfrm>
        <a:prstGeom prst="rect">
          <a:avLst/>
        </a:prstGeom>
      </xdr:spPr>
    </xdr:pic>
    <xdr:clientData/>
  </xdr:twoCellAnchor>
  <xdr:twoCellAnchor editAs="oneCell">
    <xdr:from>
      <xdr:col>1</xdr:col>
      <xdr:colOff>981076</xdr:colOff>
      <xdr:row>51</xdr:row>
      <xdr:rowOff>0</xdr:rowOff>
    </xdr:from>
    <xdr:to>
      <xdr:col>1</xdr:col>
      <xdr:colOff>3274695</xdr:colOff>
      <xdr:row>54</xdr:row>
      <xdr:rowOff>108477</xdr:rowOff>
    </xdr:to>
    <xdr:pic>
      <xdr:nvPicPr>
        <xdr:cNvPr id="20" name="Pilt 3">
          <a:extLst>
            <a:ext uri="{FF2B5EF4-FFF2-40B4-BE49-F238E27FC236}">
              <a16:creationId xmlns:a16="http://schemas.microsoft.com/office/drawing/2014/main" xmlns="" id="{0E6EB691-9D3C-4FB2-C2D4-DBF15869D2B4}"/>
            </a:ext>
          </a:extLst>
        </xdr:cNvPr>
        <xdr:cNvPicPr>
          <a:picLocks noChangeAspect="1"/>
        </xdr:cNvPicPr>
      </xdr:nvPicPr>
      <xdr:blipFill>
        <a:blip xmlns:r="http://schemas.openxmlformats.org/officeDocument/2006/relationships" r:embed="rId2"/>
        <a:stretch>
          <a:fillRect/>
        </a:stretch>
      </xdr:blipFill>
      <xdr:spPr>
        <a:xfrm>
          <a:off x="1457326" y="13525500"/>
          <a:ext cx="2295524" cy="661773"/>
        </a:xfrm>
        <a:prstGeom prst="rect">
          <a:avLst/>
        </a:prstGeom>
      </xdr:spPr>
    </xdr:pic>
    <xdr:clientData/>
  </xdr:twoCellAnchor>
  <xdr:twoCellAnchor editAs="oneCell">
    <xdr:from>
      <xdr:col>2</xdr:col>
      <xdr:colOff>624416</xdr:colOff>
      <xdr:row>1</xdr:row>
      <xdr:rowOff>190499</xdr:rowOff>
    </xdr:from>
    <xdr:to>
      <xdr:col>7</xdr:col>
      <xdr:colOff>222249</xdr:colOff>
      <xdr:row>4</xdr:row>
      <xdr:rowOff>912012</xdr:rowOff>
    </xdr:to>
    <xdr:pic>
      <xdr:nvPicPr>
        <xdr:cNvPr id="3" name="Pilt 2">
          <a:extLst>
            <a:ext uri="{FF2B5EF4-FFF2-40B4-BE49-F238E27FC236}">
              <a16:creationId xmlns:a16="http://schemas.microsoft.com/office/drawing/2014/main" xmlns="" id="{E630BB60-B070-414E-A009-3CA45A306DF5}"/>
            </a:ext>
          </a:extLst>
        </xdr:cNvPr>
        <xdr:cNvPicPr>
          <a:picLocks noChangeAspect="1"/>
        </xdr:cNvPicPr>
      </xdr:nvPicPr>
      <xdr:blipFill>
        <a:blip xmlns:r="http://schemas.openxmlformats.org/officeDocument/2006/relationships" r:embed="rId3"/>
        <a:stretch>
          <a:fillRect/>
        </a:stretch>
      </xdr:blipFill>
      <xdr:spPr>
        <a:xfrm>
          <a:off x="11048999" y="433916"/>
          <a:ext cx="2804583" cy="12718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16</xdr:row>
      <xdr:rowOff>0</xdr:rowOff>
    </xdr:from>
    <xdr:ext cx="886460" cy="314901"/>
    <xdr:sp macro="" textlink="">
      <xdr:nvSpPr>
        <xdr:cNvPr id="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CC80D0D6-7771-45D6-A578-117EA1AB4698}"/>
            </a:ext>
          </a:extLst>
        </xdr:cNvPr>
        <xdr:cNvSpPr/>
      </xdr:nvSpPr>
      <xdr:spPr bwMode="auto">
        <a:xfrm>
          <a:off x="476250" y="1255395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16</xdr:row>
      <xdr:rowOff>0</xdr:rowOff>
    </xdr:from>
    <xdr:ext cx="868892" cy="271285"/>
    <xdr:sp macro="" textlink="">
      <xdr:nvSpPr>
        <xdr:cNvPr id="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D4621327-0CDC-46CF-B898-21DF166D204C}"/>
            </a:ext>
          </a:extLst>
        </xdr:cNvPr>
        <xdr:cNvSpPr/>
      </xdr:nvSpPr>
      <xdr:spPr bwMode="auto">
        <a:xfrm>
          <a:off x="476250" y="12553950"/>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16</xdr:row>
      <xdr:rowOff>0</xdr:rowOff>
    </xdr:from>
    <xdr:ext cx="873760" cy="305376"/>
    <xdr:sp macro="" textlink="">
      <xdr:nvSpPr>
        <xdr:cNvPr id="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940D76D2-1FB1-490F-9EA3-55052C028281}"/>
            </a:ext>
          </a:extLst>
        </xdr:cNvPr>
        <xdr:cNvSpPr/>
      </xdr:nvSpPr>
      <xdr:spPr bwMode="auto">
        <a:xfrm>
          <a:off x="476250" y="12553950"/>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16</xdr:row>
      <xdr:rowOff>0</xdr:rowOff>
    </xdr:from>
    <xdr:ext cx="883285" cy="311726"/>
    <xdr:sp macro="" textlink="">
      <xdr:nvSpPr>
        <xdr:cNvPr id="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A6B1C1FE-3EBB-4CD0-ABE5-590AFEF9775D}"/>
            </a:ext>
          </a:extLst>
        </xdr:cNvPr>
        <xdr:cNvSpPr/>
      </xdr:nvSpPr>
      <xdr:spPr bwMode="auto">
        <a:xfrm>
          <a:off x="476250" y="1255395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16</xdr:row>
      <xdr:rowOff>0</xdr:rowOff>
    </xdr:from>
    <xdr:ext cx="872702" cy="273685"/>
    <xdr:sp macro="" textlink="">
      <xdr:nvSpPr>
        <xdr:cNvPr id="6"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70016444-9A8B-4EA0-8AAF-E82BF59429C2}"/>
            </a:ext>
          </a:extLst>
        </xdr:cNvPr>
        <xdr:cNvSpPr/>
      </xdr:nvSpPr>
      <xdr:spPr bwMode="auto">
        <a:xfrm>
          <a:off x="476250" y="12553950"/>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11</xdr:col>
      <xdr:colOff>0</xdr:colOff>
      <xdr:row>16</xdr:row>
      <xdr:rowOff>0</xdr:rowOff>
    </xdr:from>
    <xdr:ext cx="886460" cy="314901"/>
    <xdr:sp macro="" textlink="">
      <xdr:nvSpPr>
        <xdr:cNvPr id="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01C85A7-BFAF-49E5-85C3-B3619C883B65}"/>
            </a:ext>
          </a:extLst>
        </xdr:cNvPr>
        <xdr:cNvSpPr/>
      </xdr:nvSpPr>
      <xdr:spPr bwMode="auto">
        <a:xfrm>
          <a:off x="476250" y="6741583"/>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11</xdr:col>
      <xdr:colOff>0</xdr:colOff>
      <xdr:row>16</xdr:row>
      <xdr:rowOff>0</xdr:rowOff>
    </xdr:from>
    <xdr:ext cx="868892" cy="271285"/>
    <xdr:sp macro="" textlink="">
      <xdr:nvSpPr>
        <xdr:cNvPr id="8"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57836B7C-EEA7-4715-9E3E-780B6EC37E19}"/>
            </a:ext>
          </a:extLst>
        </xdr:cNvPr>
        <xdr:cNvSpPr/>
      </xdr:nvSpPr>
      <xdr:spPr bwMode="auto">
        <a:xfrm>
          <a:off x="476250" y="6741583"/>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11</xdr:col>
      <xdr:colOff>0</xdr:colOff>
      <xdr:row>16</xdr:row>
      <xdr:rowOff>0</xdr:rowOff>
    </xdr:from>
    <xdr:ext cx="873760" cy="305376"/>
    <xdr:sp macro="" textlink="">
      <xdr:nvSpPr>
        <xdr:cNvPr id="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B3171F6-6763-4ADB-814B-9A7303E6E9E5}"/>
            </a:ext>
          </a:extLst>
        </xdr:cNvPr>
        <xdr:cNvSpPr/>
      </xdr:nvSpPr>
      <xdr:spPr bwMode="auto">
        <a:xfrm>
          <a:off x="476250" y="6741583"/>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11</xdr:col>
      <xdr:colOff>0</xdr:colOff>
      <xdr:row>16</xdr:row>
      <xdr:rowOff>0</xdr:rowOff>
    </xdr:from>
    <xdr:ext cx="883285" cy="311726"/>
    <xdr:sp macro="" textlink="">
      <xdr:nvSpPr>
        <xdr:cNvPr id="1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5BB93FBC-0C17-4BAC-8649-BF6C0A1B481D}"/>
            </a:ext>
          </a:extLst>
        </xdr:cNvPr>
        <xdr:cNvSpPr/>
      </xdr:nvSpPr>
      <xdr:spPr bwMode="auto">
        <a:xfrm>
          <a:off x="476250" y="6741583"/>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11</xdr:col>
      <xdr:colOff>0</xdr:colOff>
      <xdr:row>16</xdr:row>
      <xdr:rowOff>0</xdr:rowOff>
    </xdr:from>
    <xdr:ext cx="872702" cy="273685"/>
    <xdr:sp macro="" textlink="">
      <xdr:nvSpPr>
        <xdr:cNvPr id="11"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22E0F806-DFB2-4C68-A03D-402BAE6951C9}"/>
            </a:ext>
          </a:extLst>
        </xdr:cNvPr>
        <xdr:cNvSpPr/>
      </xdr:nvSpPr>
      <xdr:spPr bwMode="auto">
        <a:xfrm>
          <a:off x="476250" y="6741583"/>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21</xdr:col>
      <xdr:colOff>0</xdr:colOff>
      <xdr:row>16</xdr:row>
      <xdr:rowOff>0</xdr:rowOff>
    </xdr:from>
    <xdr:ext cx="886460" cy="314901"/>
    <xdr:sp macro="" textlink="">
      <xdr:nvSpPr>
        <xdr:cNvPr id="1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BC30B56-8FE6-4EDF-AA30-C4001DA5C590}"/>
            </a:ext>
          </a:extLst>
        </xdr:cNvPr>
        <xdr:cNvSpPr/>
      </xdr:nvSpPr>
      <xdr:spPr bwMode="auto">
        <a:xfrm>
          <a:off x="476250" y="6741583"/>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21</xdr:col>
      <xdr:colOff>0</xdr:colOff>
      <xdr:row>16</xdr:row>
      <xdr:rowOff>0</xdr:rowOff>
    </xdr:from>
    <xdr:ext cx="868892" cy="271285"/>
    <xdr:sp macro="" textlink="">
      <xdr:nvSpPr>
        <xdr:cNvPr id="18"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B49740AD-0FCB-4B7B-B0B5-5C7370F1B184}"/>
            </a:ext>
          </a:extLst>
        </xdr:cNvPr>
        <xdr:cNvSpPr/>
      </xdr:nvSpPr>
      <xdr:spPr bwMode="auto">
        <a:xfrm>
          <a:off x="476250" y="6741583"/>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21</xdr:col>
      <xdr:colOff>0</xdr:colOff>
      <xdr:row>16</xdr:row>
      <xdr:rowOff>0</xdr:rowOff>
    </xdr:from>
    <xdr:ext cx="873760" cy="305376"/>
    <xdr:sp macro="" textlink="">
      <xdr:nvSpPr>
        <xdr:cNvPr id="1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25C7DC3-7BF0-43B2-8CCB-E6241F1F686D}"/>
            </a:ext>
          </a:extLst>
        </xdr:cNvPr>
        <xdr:cNvSpPr/>
      </xdr:nvSpPr>
      <xdr:spPr bwMode="auto">
        <a:xfrm>
          <a:off x="476250" y="6741583"/>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21</xdr:col>
      <xdr:colOff>0</xdr:colOff>
      <xdr:row>16</xdr:row>
      <xdr:rowOff>0</xdr:rowOff>
    </xdr:from>
    <xdr:ext cx="883285" cy="311726"/>
    <xdr:sp macro="" textlink="">
      <xdr:nvSpPr>
        <xdr:cNvPr id="2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D91728A1-D914-4E7D-8425-CD009A85DA5E}"/>
            </a:ext>
          </a:extLst>
        </xdr:cNvPr>
        <xdr:cNvSpPr/>
      </xdr:nvSpPr>
      <xdr:spPr bwMode="auto">
        <a:xfrm>
          <a:off x="476250" y="6741583"/>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21</xdr:col>
      <xdr:colOff>0</xdr:colOff>
      <xdr:row>16</xdr:row>
      <xdr:rowOff>0</xdr:rowOff>
    </xdr:from>
    <xdr:ext cx="872702" cy="273685"/>
    <xdr:sp macro="" textlink="">
      <xdr:nvSpPr>
        <xdr:cNvPr id="21"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9133BE1A-07F2-4193-97F9-773BAB967E58}"/>
            </a:ext>
          </a:extLst>
        </xdr:cNvPr>
        <xdr:cNvSpPr/>
      </xdr:nvSpPr>
      <xdr:spPr bwMode="auto">
        <a:xfrm>
          <a:off x="476250" y="6741583"/>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65</xdr:row>
      <xdr:rowOff>0</xdr:rowOff>
    </xdr:from>
    <xdr:ext cx="886460" cy="314901"/>
    <xdr:sp macro="" textlink="">
      <xdr:nvSpPr>
        <xdr:cNvPr id="4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736A037F-5C42-442D-A203-75A70BED1518}"/>
            </a:ext>
          </a:extLst>
        </xdr:cNvPr>
        <xdr:cNvSpPr/>
      </xdr:nvSpPr>
      <xdr:spPr bwMode="auto">
        <a:xfrm>
          <a:off x="476250" y="113442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65</xdr:row>
      <xdr:rowOff>0</xdr:rowOff>
    </xdr:from>
    <xdr:ext cx="868892" cy="271285"/>
    <xdr:sp macro="" textlink="">
      <xdr:nvSpPr>
        <xdr:cNvPr id="4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18CC553E-75D3-4075-8220-5192170FBD7B}"/>
            </a:ext>
          </a:extLst>
        </xdr:cNvPr>
        <xdr:cNvSpPr/>
      </xdr:nvSpPr>
      <xdr:spPr bwMode="auto">
        <a:xfrm>
          <a:off x="476250" y="11344275"/>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65</xdr:row>
      <xdr:rowOff>0</xdr:rowOff>
    </xdr:from>
    <xdr:ext cx="873760" cy="305376"/>
    <xdr:sp macro="" textlink="">
      <xdr:nvSpPr>
        <xdr:cNvPr id="4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31034269-1FF3-4C53-9B10-44A149D1CB8B}"/>
            </a:ext>
          </a:extLst>
        </xdr:cNvPr>
        <xdr:cNvSpPr/>
      </xdr:nvSpPr>
      <xdr:spPr bwMode="auto">
        <a:xfrm>
          <a:off x="476250" y="11344275"/>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65</xdr:row>
      <xdr:rowOff>0</xdr:rowOff>
    </xdr:from>
    <xdr:ext cx="883285" cy="311726"/>
    <xdr:sp macro="" textlink="">
      <xdr:nvSpPr>
        <xdr:cNvPr id="4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02E9DCE-3A8A-4C03-8988-6D6082F646EB}"/>
            </a:ext>
          </a:extLst>
        </xdr:cNvPr>
        <xdr:cNvSpPr/>
      </xdr:nvSpPr>
      <xdr:spPr bwMode="auto">
        <a:xfrm>
          <a:off x="476250" y="11344275"/>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65</xdr:row>
      <xdr:rowOff>0</xdr:rowOff>
    </xdr:from>
    <xdr:ext cx="872702" cy="273685"/>
    <xdr:sp macro="" textlink="">
      <xdr:nvSpPr>
        <xdr:cNvPr id="46"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6D8D18F2-F1E7-42BD-9E03-5E8359912582}"/>
            </a:ext>
          </a:extLst>
        </xdr:cNvPr>
        <xdr:cNvSpPr/>
      </xdr:nvSpPr>
      <xdr:spPr bwMode="auto">
        <a:xfrm>
          <a:off x="476250" y="11344275"/>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86460" cy="314901"/>
    <xdr:sp macro="" textlink="">
      <xdr:nvSpPr>
        <xdr:cNvPr id="4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4ACE60E8-29BE-4ABC-AC84-25175E56A9BF}"/>
            </a:ext>
          </a:extLst>
        </xdr:cNvPr>
        <xdr:cNvSpPr/>
      </xdr:nvSpPr>
      <xdr:spPr bwMode="auto">
        <a:xfrm>
          <a:off x="14430375" y="113442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68892" cy="271285"/>
    <xdr:sp macro="" textlink="">
      <xdr:nvSpPr>
        <xdr:cNvPr id="48"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86850571-DBE6-4C89-A1C1-9CC863744601}"/>
            </a:ext>
          </a:extLst>
        </xdr:cNvPr>
        <xdr:cNvSpPr/>
      </xdr:nvSpPr>
      <xdr:spPr bwMode="auto">
        <a:xfrm>
          <a:off x="14430375" y="11344275"/>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73760" cy="305376"/>
    <xdr:sp macro="" textlink="">
      <xdr:nvSpPr>
        <xdr:cNvPr id="4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A0C8F7A6-119A-4F3F-AED1-BE072A8336FB}"/>
            </a:ext>
          </a:extLst>
        </xdr:cNvPr>
        <xdr:cNvSpPr/>
      </xdr:nvSpPr>
      <xdr:spPr bwMode="auto">
        <a:xfrm>
          <a:off x="14430375" y="11344275"/>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83285" cy="311726"/>
    <xdr:sp macro="" textlink="">
      <xdr:nvSpPr>
        <xdr:cNvPr id="5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B1984EF0-A064-41FE-A9BA-568017990E22}"/>
            </a:ext>
          </a:extLst>
        </xdr:cNvPr>
        <xdr:cNvSpPr/>
      </xdr:nvSpPr>
      <xdr:spPr bwMode="auto">
        <a:xfrm>
          <a:off x="14430375" y="11344275"/>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72702" cy="273685"/>
    <xdr:sp macro="" textlink="">
      <xdr:nvSpPr>
        <xdr:cNvPr id="51"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B629D4DD-4C21-4795-A763-8A5CE5933C14}"/>
            </a:ext>
          </a:extLst>
        </xdr:cNvPr>
        <xdr:cNvSpPr/>
      </xdr:nvSpPr>
      <xdr:spPr bwMode="auto">
        <a:xfrm>
          <a:off x="14430375" y="11344275"/>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22</xdr:col>
      <xdr:colOff>0</xdr:colOff>
      <xdr:row>65</xdr:row>
      <xdr:rowOff>0</xdr:rowOff>
    </xdr:from>
    <xdr:ext cx="886460" cy="314901"/>
    <xdr:sp macro="" textlink="">
      <xdr:nvSpPr>
        <xdr:cNvPr id="5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7679D8F7-97FD-45FD-8FC2-C40E4A24CCF6}"/>
            </a:ext>
          </a:extLst>
        </xdr:cNvPr>
        <xdr:cNvSpPr/>
      </xdr:nvSpPr>
      <xdr:spPr bwMode="auto">
        <a:xfrm>
          <a:off x="27774900" y="113442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22</xdr:col>
      <xdr:colOff>0</xdr:colOff>
      <xdr:row>65</xdr:row>
      <xdr:rowOff>0</xdr:rowOff>
    </xdr:from>
    <xdr:ext cx="868892" cy="271285"/>
    <xdr:sp macro="" textlink="">
      <xdr:nvSpPr>
        <xdr:cNvPr id="5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5C3CDE92-9B51-4F2A-B94C-902C968BA5C5}"/>
            </a:ext>
          </a:extLst>
        </xdr:cNvPr>
        <xdr:cNvSpPr/>
      </xdr:nvSpPr>
      <xdr:spPr bwMode="auto">
        <a:xfrm>
          <a:off x="27774900" y="11344275"/>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22</xdr:col>
      <xdr:colOff>0</xdr:colOff>
      <xdr:row>65</xdr:row>
      <xdr:rowOff>0</xdr:rowOff>
    </xdr:from>
    <xdr:ext cx="873760" cy="305376"/>
    <xdr:sp macro="" textlink="">
      <xdr:nvSpPr>
        <xdr:cNvPr id="5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D3609878-14F7-4F0B-BC27-2DDFBA4C6C02}"/>
            </a:ext>
          </a:extLst>
        </xdr:cNvPr>
        <xdr:cNvSpPr/>
      </xdr:nvSpPr>
      <xdr:spPr bwMode="auto">
        <a:xfrm>
          <a:off x="27774900" y="11344275"/>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22</xdr:col>
      <xdr:colOff>0</xdr:colOff>
      <xdr:row>65</xdr:row>
      <xdr:rowOff>0</xdr:rowOff>
    </xdr:from>
    <xdr:ext cx="883285" cy="311726"/>
    <xdr:sp macro="" textlink="">
      <xdr:nvSpPr>
        <xdr:cNvPr id="5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CC6B9388-1135-4DD5-ADD5-7AE19FD23A6F}"/>
            </a:ext>
          </a:extLst>
        </xdr:cNvPr>
        <xdr:cNvSpPr/>
      </xdr:nvSpPr>
      <xdr:spPr bwMode="auto">
        <a:xfrm>
          <a:off x="27774900" y="11344275"/>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22</xdr:col>
      <xdr:colOff>0</xdr:colOff>
      <xdr:row>65</xdr:row>
      <xdr:rowOff>0</xdr:rowOff>
    </xdr:from>
    <xdr:ext cx="872702" cy="273685"/>
    <xdr:sp macro="" textlink="">
      <xdr:nvSpPr>
        <xdr:cNvPr id="56"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7ED16C7E-A0E7-43B4-8702-57CF71B4ADE7}"/>
            </a:ext>
          </a:extLst>
        </xdr:cNvPr>
        <xdr:cNvSpPr/>
      </xdr:nvSpPr>
      <xdr:spPr bwMode="auto">
        <a:xfrm>
          <a:off x="27774900" y="11344275"/>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86460" cy="314901"/>
    <xdr:sp macro="" textlink="">
      <xdr:nvSpPr>
        <xdr:cNvPr id="5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3989DF55-5EDE-4184-9370-A38CC5BA6D7D}"/>
            </a:ext>
          </a:extLst>
        </xdr:cNvPr>
        <xdr:cNvSpPr/>
      </xdr:nvSpPr>
      <xdr:spPr bwMode="auto">
        <a:xfrm>
          <a:off x="14430375" y="113442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68892" cy="271285"/>
    <xdr:sp macro="" textlink="">
      <xdr:nvSpPr>
        <xdr:cNvPr id="58"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FDCB2B7D-E9B1-42B8-9043-250285E165AB}"/>
            </a:ext>
          </a:extLst>
        </xdr:cNvPr>
        <xdr:cNvSpPr/>
      </xdr:nvSpPr>
      <xdr:spPr bwMode="auto">
        <a:xfrm>
          <a:off x="14430375" y="11344275"/>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73760" cy="305376"/>
    <xdr:sp macro="" textlink="">
      <xdr:nvSpPr>
        <xdr:cNvPr id="5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4FF8649D-9E30-45C6-961D-1A597F04BE01}"/>
            </a:ext>
          </a:extLst>
        </xdr:cNvPr>
        <xdr:cNvSpPr/>
      </xdr:nvSpPr>
      <xdr:spPr bwMode="auto">
        <a:xfrm>
          <a:off x="14430375" y="11344275"/>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83285" cy="311726"/>
    <xdr:sp macro="" textlink="">
      <xdr:nvSpPr>
        <xdr:cNvPr id="6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70F967EB-BC81-4F9A-90DC-49F74BBF24EB}"/>
            </a:ext>
          </a:extLst>
        </xdr:cNvPr>
        <xdr:cNvSpPr/>
      </xdr:nvSpPr>
      <xdr:spPr bwMode="auto">
        <a:xfrm>
          <a:off x="14430375" y="11344275"/>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72702" cy="273685"/>
    <xdr:sp macro="" textlink="">
      <xdr:nvSpPr>
        <xdr:cNvPr id="61"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88D1FB4-EF64-4139-BECA-7775EF2B6073}"/>
            </a:ext>
          </a:extLst>
        </xdr:cNvPr>
        <xdr:cNvSpPr/>
      </xdr:nvSpPr>
      <xdr:spPr bwMode="auto">
        <a:xfrm>
          <a:off x="14430375" y="11344275"/>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65</xdr:row>
      <xdr:rowOff>0</xdr:rowOff>
    </xdr:from>
    <xdr:ext cx="886460" cy="314901"/>
    <xdr:sp macro="" textlink="">
      <xdr:nvSpPr>
        <xdr:cNvPr id="6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E9678B8-E171-490B-A4BA-03BDC761B23F}"/>
            </a:ext>
          </a:extLst>
        </xdr:cNvPr>
        <xdr:cNvSpPr/>
      </xdr:nvSpPr>
      <xdr:spPr bwMode="auto">
        <a:xfrm>
          <a:off x="28422600" y="113442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65</xdr:row>
      <xdr:rowOff>0</xdr:rowOff>
    </xdr:from>
    <xdr:ext cx="868892" cy="271285"/>
    <xdr:sp macro="" textlink="">
      <xdr:nvSpPr>
        <xdr:cNvPr id="6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4A884D52-2FE7-42F3-AB9C-76CB1B161D0B}"/>
            </a:ext>
          </a:extLst>
        </xdr:cNvPr>
        <xdr:cNvSpPr/>
      </xdr:nvSpPr>
      <xdr:spPr bwMode="auto">
        <a:xfrm>
          <a:off x="28422600" y="11344275"/>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65</xdr:row>
      <xdr:rowOff>0</xdr:rowOff>
    </xdr:from>
    <xdr:ext cx="873760" cy="305376"/>
    <xdr:sp macro="" textlink="">
      <xdr:nvSpPr>
        <xdr:cNvPr id="6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4D6CB3D-9D3F-47D8-82F2-E2853DFA25F3}"/>
            </a:ext>
          </a:extLst>
        </xdr:cNvPr>
        <xdr:cNvSpPr/>
      </xdr:nvSpPr>
      <xdr:spPr bwMode="auto">
        <a:xfrm>
          <a:off x="28422600" y="11344275"/>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65</xdr:row>
      <xdr:rowOff>0</xdr:rowOff>
    </xdr:from>
    <xdr:ext cx="883285" cy="311726"/>
    <xdr:sp macro="" textlink="">
      <xdr:nvSpPr>
        <xdr:cNvPr id="6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FFA8B7F-C556-494F-B009-9367DB7B7201}"/>
            </a:ext>
          </a:extLst>
        </xdr:cNvPr>
        <xdr:cNvSpPr/>
      </xdr:nvSpPr>
      <xdr:spPr bwMode="auto">
        <a:xfrm>
          <a:off x="28422600" y="11344275"/>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65</xdr:row>
      <xdr:rowOff>0</xdr:rowOff>
    </xdr:from>
    <xdr:ext cx="872702" cy="273685"/>
    <xdr:sp macro="" textlink="">
      <xdr:nvSpPr>
        <xdr:cNvPr id="66"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F0571D5D-42E2-41F8-9158-B12F6D1FA781}"/>
            </a:ext>
          </a:extLst>
        </xdr:cNvPr>
        <xdr:cNvSpPr/>
      </xdr:nvSpPr>
      <xdr:spPr bwMode="auto">
        <a:xfrm>
          <a:off x="28422600" y="11344275"/>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11.xml><?xml version="1.0" encoding="utf-8"?>
<xdr:wsDr xmlns:xdr="http://schemas.openxmlformats.org/drawingml/2006/spreadsheetDrawing" xmlns:a="http://schemas.openxmlformats.org/drawingml/2006/main">
  <xdr:twoCellAnchor>
    <xdr:from>
      <xdr:col>10</xdr:col>
      <xdr:colOff>516469</xdr:colOff>
      <xdr:row>51</xdr:row>
      <xdr:rowOff>25577</xdr:rowOff>
    </xdr:from>
    <xdr:to>
      <xdr:col>18</xdr:col>
      <xdr:colOff>155224</xdr:colOff>
      <xdr:row>64</xdr:row>
      <xdr:rowOff>135291</xdr:rowOff>
    </xdr:to>
    <xdr:graphicFrame macro="">
      <xdr:nvGraphicFramePr>
        <xdr:cNvPr id="3" name="Diagramm 2">
          <a:extLst>
            <a:ext uri="{FF2B5EF4-FFF2-40B4-BE49-F238E27FC236}">
              <a16:creationId xmlns:a16="http://schemas.microsoft.com/office/drawing/2014/main" xmlns="" id="{6A83D777-5808-9823-8BA8-E9774D15AF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528108</xdr:colOff>
      <xdr:row>33</xdr:row>
      <xdr:rowOff>176212</xdr:rowOff>
    </xdr:from>
    <xdr:to>
      <xdr:col>18</xdr:col>
      <xdr:colOff>132291</xdr:colOff>
      <xdr:row>48</xdr:row>
      <xdr:rowOff>100012</xdr:rowOff>
    </xdr:to>
    <xdr:graphicFrame macro="">
      <xdr:nvGraphicFramePr>
        <xdr:cNvPr id="7" name="Diagramm 6">
          <a:extLst>
            <a:ext uri="{FF2B5EF4-FFF2-40B4-BE49-F238E27FC236}">
              <a16:creationId xmlns:a16="http://schemas.microsoft.com/office/drawing/2014/main" xmlns="" id="{0F0E0873-A06A-DB59-A0D4-78D8E8ED71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38805</xdr:colOff>
      <xdr:row>66</xdr:row>
      <xdr:rowOff>71261</xdr:rowOff>
    </xdr:from>
    <xdr:to>
      <xdr:col>18</xdr:col>
      <xdr:colOff>31749</xdr:colOff>
      <xdr:row>81</xdr:row>
      <xdr:rowOff>6350</xdr:rowOff>
    </xdr:to>
    <xdr:graphicFrame macro="">
      <xdr:nvGraphicFramePr>
        <xdr:cNvPr id="4" name="Diagramm 3">
          <a:extLst>
            <a:ext uri="{FF2B5EF4-FFF2-40B4-BE49-F238E27FC236}">
              <a16:creationId xmlns:a16="http://schemas.microsoft.com/office/drawing/2014/main" xmlns="" id="{4ACEAE9A-AEBF-6453-857D-7075C29224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84667</xdr:colOff>
      <xdr:row>87</xdr:row>
      <xdr:rowOff>155929</xdr:rowOff>
    </xdr:from>
    <xdr:to>
      <xdr:col>18</xdr:col>
      <xdr:colOff>77611</xdr:colOff>
      <xdr:row>102</xdr:row>
      <xdr:rowOff>69852</xdr:rowOff>
    </xdr:to>
    <xdr:graphicFrame macro="">
      <xdr:nvGraphicFramePr>
        <xdr:cNvPr id="5" name="Diagramm 4">
          <a:extLst>
            <a:ext uri="{FF2B5EF4-FFF2-40B4-BE49-F238E27FC236}">
              <a16:creationId xmlns:a16="http://schemas.microsoft.com/office/drawing/2014/main" xmlns="" id="{029430BD-AE81-0288-CC17-915A1E29DF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162277</xdr:colOff>
      <xdr:row>107</xdr:row>
      <xdr:rowOff>64206</xdr:rowOff>
    </xdr:from>
    <xdr:to>
      <xdr:col>18</xdr:col>
      <xdr:colOff>155221</xdr:colOff>
      <xdr:row>122</xdr:row>
      <xdr:rowOff>6350</xdr:rowOff>
    </xdr:to>
    <xdr:graphicFrame macro="">
      <xdr:nvGraphicFramePr>
        <xdr:cNvPr id="6" name="Diagramm 5">
          <a:extLst>
            <a:ext uri="{FF2B5EF4-FFF2-40B4-BE49-F238E27FC236}">
              <a16:creationId xmlns:a16="http://schemas.microsoft.com/office/drawing/2014/main" xmlns="" id="{16514162-2B57-C5B8-6788-C3A193D5C1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89954</xdr:colOff>
      <xdr:row>1</xdr:row>
      <xdr:rowOff>41272</xdr:rowOff>
    </xdr:from>
    <xdr:to>
      <xdr:col>19</xdr:col>
      <xdr:colOff>296333</xdr:colOff>
      <xdr:row>27</xdr:row>
      <xdr:rowOff>74082</xdr:rowOff>
    </xdr:to>
    <mc:AlternateContent xmlns:mc="http://schemas.openxmlformats.org/markup-compatibility/2006">
      <mc:Choice xmlns:cx1="http://schemas.microsoft.com/office/drawing/2015/9/8/chartex" xmlns="" Requires="cx1">
        <xdr:graphicFrame macro="">
          <xdr:nvGraphicFramePr>
            <xdr:cNvPr id="8" name="Diagramm 7">
              <a:extLst>
                <a:ext uri="{FF2B5EF4-FFF2-40B4-BE49-F238E27FC236}">
                  <a16:creationId xmlns:a16="http://schemas.microsoft.com/office/drawing/2014/main" id="{2B90F228-948F-6C1C-E4DB-203ECFB880B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2" name="Ristkülik 1"/>
            <xdr:cNvSpPr>
              <a:spLocks noTextEdit="1"/>
            </xdr:cNvSpPr>
          </xdr:nvSpPr>
          <xdr:spPr>
            <a:xfrm>
              <a:off x="10938929" y="307972"/>
              <a:ext cx="6378579" cy="4985810"/>
            </a:xfrm>
            <a:prstGeom prst="rect">
              <a:avLst/>
            </a:prstGeom>
            <a:solidFill>
              <a:prstClr val="white"/>
            </a:solidFill>
            <a:ln w="1">
              <a:solidFill>
                <a:prstClr val="green"/>
              </a:solidFill>
            </a:ln>
          </xdr:spPr>
          <xdr:txBody>
            <a:bodyPr vertOverflow="clip" horzOverflow="clip"/>
            <a:lstStyle/>
            <a:p>
              <a:r>
                <a:rPr lang="en-GB" sz="1100"/>
                <a:t>See diagramm pole teie Exceli versioonis saadaval.
Kui redigeerite seda kujundit või salvestate selle töövihiku mõnes muus failivormingus, rikute diagrammi jäädavalt.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95</xdr:row>
      <xdr:rowOff>171450</xdr:rowOff>
    </xdr:from>
    <xdr:to>
      <xdr:col>2</xdr:col>
      <xdr:colOff>176742</xdr:colOff>
      <xdr:row>97</xdr:row>
      <xdr:rowOff>92074</xdr:rowOff>
    </xdr:to>
    <xdr:sp macro="" textlink="">
      <xdr:nvSpPr>
        <xdr:cNvPr id="3075" name="CommandButton1" hidden="1">
          <a:extLst>
            <a:ext uri="{63B3BB69-23CF-44E3-9099-C40C66FF867C}">
              <a14:compatExt xmlns:a14="http://schemas.microsoft.com/office/drawing/2010/main" spid="_x0000_s3075"/>
            </a:ext>
            <a:ext uri="{FF2B5EF4-FFF2-40B4-BE49-F238E27FC236}">
              <a16:creationId xmlns:a16="http://schemas.microsoft.com/office/drawing/2014/main" xmlns="" id="{00000000-0008-0000-0300-0000030C0000}"/>
            </a:ext>
          </a:extLst>
        </xdr:cNvPr>
        <xdr:cNvSpPr/>
      </xdr:nvSpPr>
      <xdr:spPr bwMode="auto">
        <a:xfrm>
          <a:off x="142875" y="14277975"/>
          <a:ext cx="841375" cy="29844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56</xdr:row>
      <xdr:rowOff>0</xdr:rowOff>
    </xdr:from>
    <xdr:to>
      <xdr:col>2</xdr:col>
      <xdr:colOff>195792</xdr:colOff>
      <xdr:row>57</xdr:row>
      <xdr:rowOff>95885</xdr:rowOff>
    </xdr:to>
    <xdr:sp macro="" textlink="">
      <xdr:nvSpPr>
        <xdr:cNvPr id="4099"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00000000-0008-0000-0400-000003100000}"/>
            </a:ext>
          </a:extLst>
        </xdr:cNvPr>
        <xdr:cNvSpPr/>
      </xdr:nvSpPr>
      <xdr:spPr bwMode="auto">
        <a:xfrm>
          <a:off x="142875" y="4362450"/>
          <a:ext cx="84201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0</xdr:colOff>
      <xdr:row>74</xdr:row>
      <xdr:rowOff>0</xdr:rowOff>
    </xdr:from>
    <xdr:ext cx="861060" cy="282575"/>
    <xdr:sp macro="" textlink="">
      <xdr:nvSpPr>
        <xdr:cNvPr id="3"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00000000-0008-0000-0400-000003000000}"/>
            </a:ext>
          </a:extLst>
        </xdr:cNvPr>
        <xdr:cNvSpPr/>
      </xdr:nvSpPr>
      <xdr:spPr bwMode="auto">
        <a:xfrm>
          <a:off x="480060" y="5791200"/>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56</xdr:row>
      <xdr:rowOff>0</xdr:rowOff>
    </xdr:from>
    <xdr:ext cx="882650" cy="286385"/>
    <xdr:sp macro="" textlink="">
      <xdr:nvSpPr>
        <xdr:cNvPr id="11"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83A43146-5449-4DC5-9CDD-FB4307C56B07}"/>
            </a:ext>
          </a:extLst>
        </xdr:cNvPr>
        <xdr:cNvSpPr/>
      </xdr:nvSpPr>
      <xdr:spPr bwMode="auto">
        <a:xfrm>
          <a:off x="495300" y="9601200"/>
          <a:ext cx="882650"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74</xdr:row>
      <xdr:rowOff>0</xdr:rowOff>
    </xdr:from>
    <xdr:ext cx="861060" cy="282575"/>
    <xdr:sp macro="" textlink="">
      <xdr:nvSpPr>
        <xdr:cNvPr id="12"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0E6AD12C-5B83-4901-B653-026A0D4348C7}"/>
            </a:ext>
          </a:extLst>
        </xdr:cNvPr>
        <xdr:cNvSpPr/>
      </xdr:nvSpPr>
      <xdr:spPr bwMode="auto">
        <a:xfrm>
          <a:off x="495300" y="13030200"/>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56</xdr:row>
      <xdr:rowOff>0</xdr:rowOff>
    </xdr:from>
    <xdr:ext cx="882650" cy="286385"/>
    <xdr:sp macro="" textlink="">
      <xdr:nvSpPr>
        <xdr:cNvPr id="15"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7ABA5C31-C3E7-4A81-92E8-F049FBC6A0F0}"/>
            </a:ext>
          </a:extLst>
        </xdr:cNvPr>
        <xdr:cNvSpPr/>
      </xdr:nvSpPr>
      <xdr:spPr bwMode="auto">
        <a:xfrm>
          <a:off x="16506825" y="9601200"/>
          <a:ext cx="882650"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74</xdr:row>
      <xdr:rowOff>0</xdr:rowOff>
    </xdr:from>
    <xdr:ext cx="861060" cy="282575"/>
    <xdr:sp macro="" textlink="">
      <xdr:nvSpPr>
        <xdr:cNvPr id="16"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0A35780F-275E-438E-82F3-CB796C19DA23}"/>
            </a:ext>
          </a:extLst>
        </xdr:cNvPr>
        <xdr:cNvSpPr/>
      </xdr:nvSpPr>
      <xdr:spPr bwMode="auto">
        <a:xfrm>
          <a:off x="16506825" y="13030200"/>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56</xdr:row>
      <xdr:rowOff>0</xdr:rowOff>
    </xdr:from>
    <xdr:ext cx="876653" cy="286385"/>
    <xdr:sp macro="" textlink="">
      <xdr:nvSpPr>
        <xdr:cNvPr id="5"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76F60A06-A924-4478-A27C-D0B9FBD95A13}"/>
            </a:ext>
          </a:extLst>
        </xdr:cNvPr>
        <xdr:cNvSpPr/>
      </xdr:nvSpPr>
      <xdr:spPr bwMode="auto">
        <a:xfrm>
          <a:off x="500944" y="9602611"/>
          <a:ext cx="876653"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74</xdr:row>
      <xdr:rowOff>0</xdr:rowOff>
    </xdr:from>
    <xdr:ext cx="861060" cy="282575"/>
    <xdr:sp macro="" textlink="">
      <xdr:nvSpPr>
        <xdr:cNvPr id="6"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72B40E7E-5C6B-4BD1-B122-840034662BD0}"/>
            </a:ext>
          </a:extLst>
        </xdr:cNvPr>
        <xdr:cNvSpPr/>
      </xdr:nvSpPr>
      <xdr:spPr bwMode="auto">
        <a:xfrm>
          <a:off x="500944" y="13031611"/>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25</xdr:col>
      <xdr:colOff>0</xdr:colOff>
      <xdr:row>56</xdr:row>
      <xdr:rowOff>0</xdr:rowOff>
    </xdr:from>
    <xdr:ext cx="876653" cy="286385"/>
    <xdr:sp macro="" textlink="">
      <xdr:nvSpPr>
        <xdr:cNvPr id="9"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970B60D4-451C-4D42-875D-E753DAD57A42}"/>
            </a:ext>
          </a:extLst>
        </xdr:cNvPr>
        <xdr:cNvSpPr/>
      </xdr:nvSpPr>
      <xdr:spPr bwMode="auto">
        <a:xfrm>
          <a:off x="500944" y="9602611"/>
          <a:ext cx="876653"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25</xdr:col>
      <xdr:colOff>0</xdr:colOff>
      <xdr:row>74</xdr:row>
      <xdr:rowOff>0</xdr:rowOff>
    </xdr:from>
    <xdr:ext cx="861060" cy="282575"/>
    <xdr:sp macro="" textlink="">
      <xdr:nvSpPr>
        <xdr:cNvPr id="10"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171A37FF-090D-4985-BEC8-091703B2E45D}"/>
            </a:ext>
          </a:extLst>
        </xdr:cNvPr>
        <xdr:cNvSpPr/>
      </xdr:nvSpPr>
      <xdr:spPr bwMode="auto">
        <a:xfrm>
          <a:off x="500944" y="13031611"/>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13</xdr:col>
      <xdr:colOff>0</xdr:colOff>
      <xdr:row>74</xdr:row>
      <xdr:rowOff>0</xdr:rowOff>
    </xdr:from>
    <xdr:ext cx="861060" cy="282575"/>
    <xdr:sp macro="" textlink="">
      <xdr:nvSpPr>
        <xdr:cNvPr id="2"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382B1C49-D5FF-49AA-ABE6-752305CEDB6B}"/>
            </a:ext>
          </a:extLst>
        </xdr:cNvPr>
        <xdr:cNvSpPr/>
      </xdr:nvSpPr>
      <xdr:spPr bwMode="auto">
        <a:xfrm>
          <a:off x="476250" y="137900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25</xdr:col>
      <xdr:colOff>0</xdr:colOff>
      <xdr:row>74</xdr:row>
      <xdr:rowOff>0</xdr:rowOff>
    </xdr:from>
    <xdr:ext cx="861060" cy="282575"/>
    <xdr:sp macro="" textlink="">
      <xdr:nvSpPr>
        <xdr:cNvPr id="4"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13D7232E-0CE8-4044-94A0-59DF3F73BEB7}"/>
            </a:ext>
          </a:extLst>
        </xdr:cNvPr>
        <xdr:cNvSpPr/>
      </xdr:nvSpPr>
      <xdr:spPr bwMode="auto">
        <a:xfrm>
          <a:off x="476250" y="137900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72</xdr:row>
      <xdr:rowOff>0</xdr:rowOff>
    </xdr:from>
    <xdr:to>
      <xdr:col>2</xdr:col>
      <xdr:colOff>199179</xdr:colOff>
      <xdr:row>73</xdr:row>
      <xdr:rowOff>94615</xdr:rowOff>
    </xdr:to>
    <xdr:sp macro="" textlink="">
      <xdr:nvSpPr>
        <xdr:cNvPr id="6148"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0000000-0008-0000-0600-000004180000}"/>
            </a:ext>
          </a:extLst>
        </xdr:cNvPr>
        <xdr:cNvSpPr/>
      </xdr:nvSpPr>
      <xdr:spPr bwMode="auto">
        <a:xfrm>
          <a:off x="142875" y="8067675"/>
          <a:ext cx="837777" cy="288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12</xdr:col>
      <xdr:colOff>0</xdr:colOff>
      <xdr:row>72</xdr:row>
      <xdr:rowOff>0</xdr:rowOff>
    </xdr:from>
    <xdr:ext cx="886037" cy="285115"/>
    <xdr:sp macro="" textlink="">
      <xdr:nvSpPr>
        <xdr:cNvPr id="2"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E721C9E2-BCB8-424A-A19C-391A59173F39}"/>
            </a:ext>
          </a:extLst>
        </xdr:cNvPr>
        <xdr:cNvSpPr/>
      </xdr:nvSpPr>
      <xdr:spPr bwMode="auto">
        <a:xfrm>
          <a:off x="495300" y="8839200"/>
          <a:ext cx="886037"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72</xdr:row>
      <xdr:rowOff>0</xdr:rowOff>
    </xdr:from>
    <xdr:ext cx="886037" cy="285115"/>
    <xdr:sp macro="" textlink="">
      <xdr:nvSpPr>
        <xdr:cNvPr id="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A72560C0-FFAF-4300-B335-C25D2EACA98A}"/>
            </a:ext>
          </a:extLst>
        </xdr:cNvPr>
        <xdr:cNvSpPr/>
      </xdr:nvSpPr>
      <xdr:spPr bwMode="auto">
        <a:xfrm>
          <a:off x="13573125" y="8839200"/>
          <a:ext cx="886037"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53</xdr:row>
      <xdr:rowOff>0</xdr:rowOff>
    </xdr:from>
    <xdr:ext cx="861060" cy="282575"/>
    <xdr:sp macro="" textlink="">
      <xdr:nvSpPr>
        <xdr:cNvPr id="4"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18B24B3A-68CA-4215-B788-7DEDF6B07C7A}"/>
            </a:ext>
          </a:extLst>
        </xdr:cNvPr>
        <xdr:cNvSpPr/>
      </xdr:nvSpPr>
      <xdr:spPr bwMode="auto">
        <a:xfrm>
          <a:off x="476250" y="13030200"/>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72</xdr:row>
      <xdr:rowOff>0</xdr:rowOff>
    </xdr:from>
    <xdr:ext cx="844762" cy="285115"/>
    <xdr:sp macro="" textlink="">
      <xdr:nvSpPr>
        <xdr:cNvPr id="5"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3665A48D-0529-4199-8D1E-1767EC7B257B}"/>
            </a:ext>
          </a:extLst>
        </xdr:cNvPr>
        <xdr:cNvSpPr/>
      </xdr:nvSpPr>
      <xdr:spPr bwMode="auto">
        <a:xfrm>
          <a:off x="476250" y="12647083"/>
          <a:ext cx="84476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53</xdr:row>
      <xdr:rowOff>0</xdr:rowOff>
    </xdr:from>
    <xdr:ext cx="861060" cy="282575"/>
    <xdr:sp macro="" textlink="">
      <xdr:nvSpPr>
        <xdr:cNvPr id="6"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3037292C-DCB6-4093-ADEB-DE5A4814270D}"/>
            </a:ext>
          </a:extLst>
        </xdr:cNvPr>
        <xdr:cNvSpPr/>
      </xdr:nvSpPr>
      <xdr:spPr bwMode="auto">
        <a:xfrm>
          <a:off x="476250" y="9027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72</xdr:row>
      <xdr:rowOff>0</xdr:rowOff>
    </xdr:from>
    <xdr:ext cx="844762" cy="285115"/>
    <xdr:sp macro="" textlink="">
      <xdr:nvSpPr>
        <xdr:cNvPr id="7"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EF0FE5CA-B291-42CA-8660-DCE32F2C4B28}"/>
            </a:ext>
          </a:extLst>
        </xdr:cNvPr>
        <xdr:cNvSpPr/>
      </xdr:nvSpPr>
      <xdr:spPr bwMode="auto">
        <a:xfrm>
          <a:off x="476250" y="12647083"/>
          <a:ext cx="84476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53</xdr:row>
      <xdr:rowOff>0</xdr:rowOff>
    </xdr:from>
    <xdr:ext cx="861060" cy="282575"/>
    <xdr:sp macro="" textlink="">
      <xdr:nvSpPr>
        <xdr:cNvPr id="8"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D9FA70F5-59E0-4D42-BE22-CBA612AFEB6D}"/>
            </a:ext>
          </a:extLst>
        </xdr:cNvPr>
        <xdr:cNvSpPr/>
      </xdr:nvSpPr>
      <xdr:spPr bwMode="auto">
        <a:xfrm>
          <a:off x="476250" y="9027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53</xdr:row>
      <xdr:rowOff>0</xdr:rowOff>
    </xdr:from>
    <xdr:ext cx="861060" cy="282575"/>
    <xdr:sp macro="" textlink="">
      <xdr:nvSpPr>
        <xdr:cNvPr id="9"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49CCF6CD-86E2-484E-962F-C12BE407C01A}"/>
            </a:ext>
          </a:extLst>
        </xdr:cNvPr>
        <xdr:cNvSpPr/>
      </xdr:nvSpPr>
      <xdr:spPr bwMode="auto">
        <a:xfrm>
          <a:off x="476250" y="9027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53</xdr:row>
      <xdr:rowOff>0</xdr:rowOff>
    </xdr:from>
    <xdr:ext cx="861060" cy="282575"/>
    <xdr:sp macro="" textlink="">
      <xdr:nvSpPr>
        <xdr:cNvPr id="10"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1B8C7BEE-E777-4D4E-89E4-D36726752F6C}"/>
            </a:ext>
          </a:extLst>
        </xdr:cNvPr>
        <xdr:cNvSpPr/>
      </xdr:nvSpPr>
      <xdr:spPr bwMode="auto">
        <a:xfrm>
          <a:off x="476250" y="9027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53</xdr:row>
      <xdr:rowOff>0</xdr:rowOff>
    </xdr:from>
    <xdr:ext cx="861060" cy="282575"/>
    <xdr:sp macro="" textlink="">
      <xdr:nvSpPr>
        <xdr:cNvPr id="11"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35EAD1EA-C8BE-491B-B062-6C9596AA941E}"/>
            </a:ext>
          </a:extLst>
        </xdr:cNvPr>
        <xdr:cNvSpPr/>
      </xdr:nvSpPr>
      <xdr:spPr bwMode="auto">
        <a:xfrm>
          <a:off x="476250" y="9027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53</xdr:row>
      <xdr:rowOff>0</xdr:rowOff>
    </xdr:from>
    <xdr:ext cx="861060" cy="282575"/>
    <xdr:sp macro="" textlink="">
      <xdr:nvSpPr>
        <xdr:cNvPr id="12"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291188CE-E06F-49D0-AF88-9819B1E1A10A}"/>
            </a:ext>
          </a:extLst>
        </xdr:cNvPr>
        <xdr:cNvSpPr/>
      </xdr:nvSpPr>
      <xdr:spPr bwMode="auto">
        <a:xfrm>
          <a:off x="476250" y="10170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53</xdr:row>
      <xdr:rowOff>0</xdr:rowOff>
    </xdr:from>
    <xdr:ext cx="861060" cy="282575"/>
    <xdr:sp macro="" textlink="">
      <xdr:nvSpPr>
        <xdr:cNvPr id="13"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765CBAF6-8FD5-48CB-8924-12C6A62707C4}"/>
            </a:ext>
          </a:extLst>
        </xdr:cNvPr>
        <xdr:cNvSpPr/>
      </xdr:nvSpPr>
      <xdr:spPr bwMode="auto">
        <a:xfrm>
          <a:off x="476250" y="10170583"/>
          <a:ext cx="861060" cy="2825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50</xdr:row>
      <xdr:rowOff>0</xdr:rowOff>
    </xdr:from>
    <xdr:to>
      <xdr:col>2</xdr:col>
      <xdr:colOff>199179</xdr:colOff>
      <xdr:row>51</xdr:row>
      <xdr:rowOff>94615</xdr:rowOff>
    </xdr:to>
    <xdr:sp macro="" textlink="">
      <xdr:nvSpPr>
        <xdr:cNvPr id="2"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215F151B-BB30-4FF0-B125-409512E3D246}"/>
            </a:ext>
          </a:extLst>
        </xdr:cNvPr>
        <xdr:cNvSpPr/>
      </xdr:nvSpPr>
      <xdr:spPr bwMode="auto">
        <a:xfrm>
          <a:off x="476250" y="11696700"/>
          <a:ext cx="85746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12</xdr:col>
      <xdr:colOff>0</xdr:colOff>
      <xdr:row>50</xdr:row>
      <xdr:rowOff>0</xdr:rowOff>
    </xdr:from>
    <xdr:ext cx="886037" cy="285115"/>
    <xdr:sp macro="" textlink="">
      <xdr:nvSpPr>
        <xdr:cNvPr id="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2ACAF20B-2D5C-4564-8A21-6AD4C1B2A393}"/>
            </a:ext>
          </a:extLst>
        </xdr:cNvPr>
        <xdr:cNvSpPr/>
      </xdr:nvSpPr>
      <xdr:spPr bwMode="auto">
        <a:xfrm>
          <a:off x="495300" y="8648700"/>
          <a:ext cx="886037"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50</xdr:row>
      <xdr:rowOff>0</xdr:rowOff>
    </xdr:from>
    <xdr:ext cx="886037" cy="285115"/>
    <xdr:sp macro="" textlink="">
      <xdr:nvSpPr>
        <xdr:cNvPr id="4"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74C72CD-219E-4B11-80E2-D2C24766CD42}"/>
            </a:ext>
          </a:extLst>
        </xdr:cNvPr>
        <xdr:cNvSpPr/>
      </xdr:nvSpPr>
      <xdr:spPr bwMode="auto">
        <a:xfrm>
          <a:off x="14516100" y="8648700"/>
          <a:ext cx="886037"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58</xdr:row>
      <xdr:rowOff>0</xdr:rowOff>
    </xdr:from>
    <xdr:to>
      <xdr:col>2</xdr:col>
      <xdr:colOff>215477</xdr:colOff>
      <xdr:row>59</xdr:row>
      <xdr:rowOff>102176</xdr:rowOff>
    </xdr:to>
    <xdr:sp macro="" textlink="">
      <xdr:nvSpPr>
        <xdr:cNvPr id="717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700-0000041C0000}"/>
            </a:ext>
          </a:extLst>
        </xdr:cNvPr>
        <xdr:cNvSpPr/>
      </xdr:nvSpPr>
      <xdr:spPr bwMode="auto">
        <a:xfrm>
          <a:off x="590550" y="1914525"/>
          <a:ext cx="870585"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0</xdr:colOff>
      <xdr:row>152</xdr:row>
      <xdr:rowOff>0</xdr:rowOff>
    </xdr:from>
    <xdr:ext cx="873760" cy="295851"/>
    <xdr:sp macro="" textlink="">
      <xdr:nvSpPr>
        <xdr:cNvPr id="3"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700-000003000000}"/>
            </a:ext>
          </a:extLst>
        </xdr:cNvPr>
        <xdr:cNvSpPr/>
      </xdr:nvSpPr>
      <xdr:spPr bwMode="auto">
        <a:xfrm>
          <a:off x="476250" y="465772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171</xdr:row>
      <xdr:rowOff>0</xdr:rowOff>
    </xdr:from>
    <xdr:ext cx="873760" cy="295851"/>
    <xdr:sp macro="" textlink="">
      <xdr:nvSpPr>
        <xdr:cNvPr id="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700-000004000000}"/>
            </a:ext>
          </a:extLst>
        </xdr:cNvPr>
        <xdr:cNvSpPr/>
      </xdr:nvSpPr>
      <xdr:spPr bwMode="auto">
        <a:xfrm>
          <a:off x="476250" y="945832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192</xdr:row>
      <xdr:rowOff>0</xdr:rowOff>
    </xdr:from>
    <xdr:ext cx="873760" cy="295851"/>
    <xdr:sp macro="" textlink="">
      <xdr:nvSpPr>
        <xdr:cNvPr id="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51B5F9BE-5193-40A7-9722-35AB6599A307}"/>
            </a:ext>
          </a:extLst>
        </xdr:cNvPr>
        <xdr:cNvSpPr/>
      </xdr:nvSpPr>
      <xdr:spPr bwMode="auto">
        <a:xfrm>
          <a:off x="476250" y="1343977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190</xdr:row>
      <xdr:rowOff>0</xdr:rowOff>
    </xdr:from>
    <xdr:ext cx="873760" cy="295851"/>
    <xdr:sp macro="" textlink="">
      <xdr:nvSpPr>
        <xdr:cNvPr id="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298EF0F-F634-4A43-9058-C8D0EDC01B37}"/>
            </a:ext>
          </a:extLst>
        </xdr:cNvPr>
        <xdr:cNvSpPr/>
      </xdr:nvSpPr>
      <xdr:spPr bwMode="auto">
        <a:xfrm>
          <a:off x="476250" y="1343977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77</xdr:row>
      <xdr:rowOff>0</xdr:rowOff>
    </xdr:from>
    <xdr:ext cx="873760" cy="295851"/>
    <xdr:sp macro="" textlink="">
      <xdr:nvSpPr>
        <xdr:cNvPr id="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E3FF38F-14B3-4089-8476-4994D06EAC8F}"/>
            </a:ext>
          </a:extLst>
        </xdr:cNvPr>
        <xdr:cNvSpPr/>
      </xdr:nvSpPr>
      <xdr:spPr bwMode="auto">
        <a:xfrm>
          <a:off x="476250" y="58483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98</xdr:row>
      <xdr:rowOff>0</xdr:rowOff>
    </xdr:from>
    <xdr:ext cx="873760" cy="295851"/>
    <xdr:sp macro="" textlink="">
      <xdr:nvSpPr>
        <xdr:cNvPr id="8"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75EC9CDF-18FD-40F7-B6B4-D879E944FDFB}"/>
            </a:ext>
          </a:extLst>
        </xdr:cNvPr>
        <xdr:cNvSpPr/>
      </xdr:nvSpPr>
      <xdr:spPr bwMode="auto">
        <a:xfrm>
          <a:off x="476250" y="930592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137</xdr:row>
      <xdr:rowOff>0</xdr:rowOff>
    </xdr:from>
    <xdr:ext cx="873760" cy="295851"/>
    <xdr:sp macro="" textlink="">
      <xdr:nvSpPr>
        <xdr:cNvPr id="1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32F6386-D765-4639-A0BC-529F65AB3593}"/>
            </a:ext>
          </a:extLst>
        </xdr:cNvPr>
        <xdr:cNvSpPr/>
      </xdr:nvSpPr>
      <xdr:spPr bwMode="auto">
        <a:xfrm>
          <a:off x="476250" y="1256347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1</xdr:col>
      <xdr:colOff>0</xdr:colOff>
      <xdr:row>193</xdr:row>
      <xdr:rowOff>0</xdr:rowOff>
    </xdr:from>
    <xdr:to>
      <xdr:col>2</xdr:col>
      <xdr:colOff>199179</xdr:colOff>
      <xdr:row>194</xdr:row>
      <xdr:rowOff>94615</xdr:rowOff>
    </xdr:to>
    <xdr:sp macro="" textlink="">
      <xdr:nvSpPr>
        <xdr:cNvPr id="11"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BB74911D-EF46-410B-9D62-94F2EC5BC2CC}"/>
            </a:ext>
          </a:extLst>
        </xdr:cNvPr>
        <xdr:cNvSpPr/>
      </xdr:nvSpPr>
      <xdr:spPr bwMode="auto">
        <a:xfrm>
          <a:off x="476250" y="11696700"/>
          <a:ext cx="85746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0</xdr:colOff>
      <xdr:row>96</xdr:row>
      <xdr:rowOff>0</xdr:rowOff>
    </xdr:from>
    <xdr:ext cx="873760" cy="295851"/>
    <xdr:sp macro="" textlink="">
      <xdr:nvSpPr>
        <xdr:cNvPr id="13"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A1374C7B-5768-4028-AE7F-5EDCC7059AEE}"/>
            </a:ext>
          </a:extLst>
        </xdr:cNvPr>
        <xdr:cNvSpPr/>
      </xdr:nvSpPr>
      <xdr:spPr bwMode="auto">
        <a:xfrm>
          <a:off x="476250" y="92202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135</xdr:row>
      <xdr:rowOff>0</xdr:rowOff>
    </xdr:from>
    <xdr:ext cx="873760" cy="295851"/>
    <xdr:sp macro="" textlink="">
      <xdr:nvSpPr>
        <xdr:cNvPr id="1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3E6F9F75-47B7-43A6-9AD3-D3D04E914B58}"/>
            </a:ext>
          </a:extLst>
        </xdr:cNvPr>
        <xdr:cNvSpPr/>
      </xdr:nvSpPr>
      <xdr:spPr bwMode="auto">
        <a:xfrm>
          <a:off x="476250" y="132207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115</xdr:row>
      <xdr:rowOff>0</xdr:rowOff>
    </xdr:from>
    <xdr:ext cx="873760" cy="295851"/>
    <xdr:sp macro="" textlink="">
      <xdr:nvSpPr>
        <xdr:cNvPr id="1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CE046A79-D125-47C4-B7C7-A30802E0CEBC}"/>
            </a:ext>
          </a:extLst>
        </xdr:cNvPr>
        <xdr:cNvSpPr/>
      </xdr:nvSpPr>
      <xdr:spPr bwMode="auto">
        <a:xfrm>
          <a:off x="476250" y="132207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1</xdr:col>
      <xdr:colOff>0</xdr:colOff>
      <xdr:row>134</xdr:row>
      <xdr:rowOff>0</xdr:rowOff>
    </xdr:from>
    <xdr:to>
      <xdr:col>2</xdr:col>
      <xdr:colOff>186267</xdr:colOff>
      <xdr:row>135</xdr:row>
      <xdr:rowOff>95885</xdr:rowOff>
    </xdr:to>
    <xdr:sp macro="" textlink="">
      <xdr:nvSpPr>
        <xdr:cNvPr id="15"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B931E31D-D6A6-45C9-BED0-F346709630D0}"/>
            </a:ext>
          </a:extLst>
        </xdr:cNvPr>
        <xdr:cNvSpPr/>
      </xdr:nvSpPr>
      <xdr:spPr bwMode="auto">
        <a:xfrm>
          <a:off x="476250" y="9601200"/>
          <a:ext cx="847725"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0</xdr:colOff>
      <xdr:row>133</xdr:row>
      <xdr:rowOff>0</xdr:rowOff>
    </xdr:from>
    <xdr:ext cx="886460" cy="314901"/>
    <xdr:sp macro="" textlink="">
      <xdr:nvSpPr>
        <xdr:cNvPr id="1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80991E2-10DB-4E37-B7AD-24ED297DADE3}"/>
            </a:ext>
          </a:extLst>
        </xdr:cNvPr>
        <xdr:cNvSpPr/>
      </xdr:nvSpPr>
      <xdr:spPr bwMode="auto">
        <a:xfrm>
          <a:off x="476250" y="1192530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58</xdr:row>
      <xdr:rowOff>0</xdr:rowOff>
    </xdr:from>
    <xdr:ext cx="902335" cy="295851"/>
    <xdr:sp macro="" textlink="">
      <xdr:nvSpPr>
        <xdr:cNvPr id="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A460A1D5-D111-44DD-936F-0744D94FC573}"/>
            </a:ext>
          </a:extLst>
        </xdr:cNvPr>
        <xdr:cNvSpPr/>
      </xdr:nvSpPr>
      <xdr:spPr bwMode="auto">
        <a:xfrm>
          <a:off x="495300" y="10744200"/>
          <a:ext cx="902335"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152</xdr:row>
      <xdr:rowOff>0</xdr:rowOff>
    </xdr:from>
    <xdr:ext cx="873760" cy="295851"/>
    <xdr:sp macro="" textlink="">
      <xdr:nvSpPr>
        <xdr:cNvPr id="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47D7D619-AE01-4CEC-8B6C-E789AF5B270E}"/>
            </a:ext>
          </a:extLst>
        </xdr:cNvPr>
        <xdr:cNvSpPr/>
      </xdr:nvSpPr>
      <xdr:spPr bwMode="auto">
        <a:xfrm>
          <a:off x="495300" y="286702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171</xdr:row>
      <xdr:rowOff>0</xdr:rowOff>
    </xdr:from>
    <xdr:ext cx="873760" cy="295851"/>
    <xdr:sp macro="" textlink="">
      <xdr:nvSpPr>
        <xdr:cNvPr id="1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CEAFE7AF-6DF7-4D8D-AE8D-CE1B213A5333}"/>
            </a:ext>
          </a:extLst>
        </xdr:cNvPr>
        <xdr:cNvSpPr/>
      </xdr:nvSpPr>
      <xdr:spPr bwMode="auto">
        <a:xfrm>
          <a:off x="495300" y="322897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192</xdr:row>
      <xdr:rowOff>0</xdr:rowOff>
    </xdr:from>
    <xdr:ext cx="873760" cy="295851"/>
    <xdr:sp macro="" textlink="">
      <xdr:nvSpPr>
        <xdr:cNvPr id="18"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F22AA29E-428E-40A6-8B49-E69926F8ADFF}"/>
            </a:ext>
          </a:extLst>
        </xdr:cNvPr>
        <xdr:cNvSpPr/>
      </xdr:nvSpPr>
      <xdr:spPr bwMode="auto">
        <a:xfrm>
          <a:off x="495300" y="362902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190</xdr:row>
      <xdr:rowOff>0</xdr:rowOff>
    </xdr:from>
    <xdr:ext cx="873760" cy="295851"/>
    <xdr:sp macro="" textlink="">
      <xdr:nvSpPr>
        <xdr:cNvPr id="1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73A66D5-9FDE-4AEE-9F5F-8418E6E38173}"/>
            </a:ext>
          </a:extLst>
        </xdr:cNvPr>
        <xdr:cNvSpPr/>
      </xdr:nvSpPr>
      <xdr:spPr bwMode="auto">
        <a:xfrm>
          <a:off x="495300" y="359092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77</xdr:row>
      <xdr:rowOff>0</xdr:rowOff>
    </xdr:from>
    <xdr:ext cx="873760" cy="295851"/>
    <xdr:sp macro="" textlink="">
      <xdr:nvSpPr>
        <xdr:cNvPr id="2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2A230590-12B7-4D16-95B9-45ECA287E2C3}"/>
            </a:ext>
          </a:extLst>
        </xdr:cNvPr>
        <xdr:cNvSpPr/>
      </xdr:nvSpPr>
      <xdr:spPr bwMode="auto">
        <a:xfrm>
          <a:off x="495300" y="143637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98</xdr:row>
      <xdr:rowOff>0</xdr:rowOff>
    </xdr:from>
    <xdr:ext cx="873760" cy="295851"/>
    <xdr:sp macro="" textlink="">
      <xdr:nvSpPr>
        <xdr:cNvPr id="21"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234BE495-53FE-4528-ACE8-4FEC345324F8}"/>
            </a:ext>
          </a:extLst>
        </xdr:cNvPr>
        <xdr:cNvSpPr/>
      </xdr:nvSpPr>
      <xdr:spPr bwMode="auto">
        <a:xfrm>
          <a:off x="495300" y="183642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137</xdr:row>
      <xdr:rowOff>0</xdr:rowOff>
    </xdr:from>
    <xdr:ext cx="873760" cy="295851"/>
    <xdr:sp macro="" textlink="">
      <xdr:nvSpPr>
        <xdr:cNvPr id="2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8A90893-65CD-4B16-ADBD-21F90BC83428}"/>
            </a:ext>
          </a:extLst>
        </xdr:cNvPr>
        <xdr:cNvSpPr/>
      </xdr:nvSpPr>
      <xdr:spPr bwMode="auto">
        <a:xfrm>
          <a:off x="495300" y="258127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193</xdr:row>
      <xdr:rowOff>0</xdr:rowOff>
    </xdr:from>
    <xdr:ext cx="886037" cy="285115"/>
    <xdr:sp macro="" textlink="">
      <xdr:nvSpPr>
        <xdr:cNvPr id="2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96D9158B-0820-4683-ADE3-5A2546ED5681}"/>
            </a:ext>
          </a:extLst>
        </xdr:cNvPr>
        <xdr:cNvSpPr/>
      </xdr:nvSpPr>
      <xdr:spPr bwMode="auto">
        <a:xfrm>
          <a:off x="495300" y="36480750"/>
          <a:ext cx="886037"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96</xdr:row>
      <xdr:rowOff>0</xdr:rowOff>
    </xdr:from>
    <xdr:ext cx="873760" cy="295851"/>
    <xdr:sp macro="" textlink="">
      <xdr:nvSpPr>
        <xdr:cNvPr id="2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ACFCF6D-C97A-4F67-9173-0533DADEEBB7}"/>
            </a:ext>
          </a:extLst>
        </xdr:cNvPr>
        <xdr:cNvSpPr/>
      </xdr:nvSpPr>
      <xdr:spPr bwMode="auto">
        <a:xfrm>
          <a:off x="495300" y="179832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135</xdr:row>
      <xdr:rowOff>0</xdr:rowOff>
    </xdr:from>
    <xdr:ext cx="873760" cy="295851"/>
    <xdr:sp macro="" textlink="">
      <xdr:nvSpPr>
        <xdr:cNvPr id="2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FC884190-D1A9-4D75-80C2-29AEAFB8BE32}"/>
            </a:ext>
          </a:extLst>
        </xdr:cNvPr>
        <xdr:cNvSpPr/>
      </xdr:nvSpPr>
      <xdr:spPr bwMode="auto">
        <a:xfrm>
          <a:off x="495300" y="254317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115</xdr:row>
      <xdr:rowOff>0</xdr:rowOff>
    </xdr:from>
    <xdr:ext cx="873760" cy="295851"/>
    <xdr:sp macro="" textlink="">
      <xdr:nvSpPr>
        <xdr:cNvPr id="2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72DF4B68-B7E1-4FCB-B791-6A34F295B8D5}"/>
            </a:ext>
          </a:extLst>
        </xdr:cNvPr>
        <xdr:cNvSpPr/>
      </xdr:nvSpPr>
      <xdr:spPr bwMode="auto">
        <a:xfrm>
          <a:off x="495300" y="216027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134</xdr:row>
      <xdr:rowOff>0</xdr:rowOff>
    </xdr:from>
    <xdr:ext cx="876300" cy="286385"/>
    <xdr:sp macro="" textlink="">
      <xdr:nvSpPr>
        <xdr:cNvPr id="27"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B9097F6F-015E-4550-B454-8D704754AAD0}"/>
            </a:ext>
          </a:extLst>
        </xdr:cNvPr>
        <xdr:cNvSpPr/>
      </xdr:nvSpPr>
      <xdr:spPr bwMode="auto">
        <a:xfrm>
          <a:off x="495300" y="25241250"/>
          <a:ext cx="876300"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19</xdr:col>
      <xdr:colOff>0</xdr:colOff>
      <xdr:row>133</xdr:row>
      <xdr:rowOff>0</xdr:rowOff>
    </xdr:from>
    <xdr:ext cx="886460" cy="314901"/>
    <xdr:sp macro="" textlink="">
      <xdr:nvSpPr>
        <xdr:cNvPr id="28"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B87DCA91-7E8B-4DF7-9990-A2F942ADD335}"/>
            </a:ext>
          </a:extLst>
        </xdr:cNvPr>
        <xdr:cNvSpPr/>
      </xdr:nvSpPr>
      <xdr:spPr bwMode="auto">
        <a:xfrm>
          <a:off x="495300" y="2504122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58</xdr:row>
      <xdr:rowOff>0</xdr:rowOff>
    </xdr:from>
    <xdr:ext cx="902335" cy="295851"/>
    <xdr:sp macro="" textlink="">
      <xdr:nvSpPr>
        <xdr:cNvPr id="2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1129248-109C-4D9E-AE9A-AF58FFB3B08B}"/>
            </a:ext>
          </a:extLst>
        </xdr:cNvPr>
        <xdr:cNvSpPr/>
      </xdr:nvSpPr>
      <xdr:spPr bwMode="auto">
        <a:xfrm>
          <a:off x="21907500" y="10744200"/>
          <a:ext cx="902335"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152</xdr:row>
      <xdr:rowOff>0</xdr:rowOff>
    </xdr:from>
    <xdr:ext cx="873760" cy="295851"/>
    <xdr:sp macro="" textlink="">
      <xdr:nvSpPr>
        <xdr:cNvPr id="3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10AD7D5-AA37-4990-9FCB-B40070722E2B}"/>
            </a:ext>
          </a:extLst>
        </xdr:cNvPr>
        <xdr:cNvSpPr/>
      </xdr:nvSpPr>
      <xdr:spPr bwMode="auto">
        <a:xfrm>
          <a:off x="21907500" y="286702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171</xdr:row>
      <xdr:rowOff>0</xdr:rowOff>
    </xdr:from>
    <xdr:ext cx="873760" cy="295851"/>
    <xdr:sp macro="" textlink="">
      <xdr:nvSpPr>
        <xdr:cNvPr id="31"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4CF99F82-C735-4288-BAFA-4D1DDA2A57D5}"/>
            </a:ext>
          </a:extLst>
        </xdr:cNvPr>
        <xdr:cNvSpPr/>
      </xdr:nvSpPr>
      <xdr:spPr bwMode="auto">
        <a:xfrm>
          <a:off x="21907500" y="322897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192</xdr:row>
      <xdr:rowOff>0</xdr:rowOff>
    </xdr:from>
    <xdr:ext cx="873760" cy="295851"/>
    <xdr:sp macro="" textlink="">
      <xdr:nvSpPr>
        <xdr:cNvPr id="3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25E0737-358F-4108-98C2-16CB7D676436}"/>
            </a:ext>
          </a:extLst>
        </xdr:cNvPr>
        <xdr:cNvSpPr/>
      </xdr:nvSpPr>
      <xdr:spPr bwMode="auto">
        <a:xfrm>
          <a:off x="21907500" y="362902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190</xdr:row>
      <xdr:rowOff>0</xdr:rowOff>
    </xdr:from>
    <xdr:ext cx="873760" cy="295851"/>
    <xdr:sp macro="" textlink="">
      <xdr:nvSpPr>
        <xdr:cNvPr id="33"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34E8482-EA3A-4447-9BA0-D114A6A1CE22}"/>
            </a:ext>
          </a:extLst>
        </xdr:cNvPr>
        <xdr:cNvSpPr/>
      </xdr:nvSpPr>
      <xdr:spPr bwMode="auto">
        <a:xfrm>
          <a:off x="21907500" y="359092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77</xdr:row>
      <xdr:rowOff>0</xdr:rowOff>
    </xdr:from>
    <xdr:ext cx="873760" cy="295851"/>
    <xdr:sp macro="" textlink="">
      <xdr:nvSpPr>
        <xdr:cNvPr id="3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F2D88541-C0BF-4574-B5F3-855762C449FB}"/>
            </a:ext>
          </a:extLst>
        </xdr:cNvPr>
        <xdr:cNvSpPr/>
      </xdr:nvSpPr>
      <xdr:spPr bwMode="auto">
        <a:xfrm>
          <a:off x="21907500" y="143637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98</xdr:row>
      <xdr:rowOff>0</xdr:rowOff>
    </xdr:from>
    <xdr:ext cx="873760" cy="295851"/>
    <xdr:sp macro="" textlink="">
      <xdr:nvSpPr>
        <xdr:cNvPr id="3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3270CFF5-E41A-4062-9A0E-35FF43C69050}"/>
            </a:ext>
          </a:extLst>
        </xdr:cNvPr>
        <xdr:cNvSpPr/>
      </xdr:nvSpPr>
      <xdr:spPr bwMode="auto">
        <a:xfrm>
          <a:off x="21907500" y="183642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137</xdr:row>
      <xdr:rowOff>0</xdr:rowOff>
    </xdr:from>
    <xdr:ext cx="873760" cy="295851"/>
    <xdr:sp macro="" textlink="">
      <xdr:nvSpPr>
        <xdr:cNvPr id="3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E8918552-3664-4575-9ECB-2050EE7FA0BC}"/>
            </a:ext>
          </a:extLst>
        </xdr:cNvPr>
        <xdr:cNvSpPr/>
      </xdr:nvSpPr>
      <xdr:spPr bwMode="auto">
        <a:xfrm>
          <a:off x="21907500" y="258127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193</xdr:row>
      <xdr:rowOff>0</xdr:rowOff>
    </xdr:from>
    <xdr:ext cx="886037" cy="285115"/>
    <xdr:sp macro="" textlink="">
      <xdr:nvSpPr>
        <xdr:cNvPr id="37"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FEBAE163-D811-49FE-AA5E-1B565B8C0B96}"/>
            </a:ext>
          </a:extLst>
        </xdr:cNvPr>
        <xdr:cNvSpPr/>
      </xdr:nvSpPr>
      <xdr:spPr bwMode="auto">
        <a:xfrm>
          <a:off x="21907500" y="36480750"/>
          <a:ext cx="886037"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96</xdr:row>
      <xdr:rowOff>0</xdr:rowOff>
    </xdr:from>
    <xdr:ext cx="873760" cy="295851"/>
    <xdr:sp macro="" textlink="">
      <xdr:nvSpPr>
        <xdr:cNvPr id="38"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BC617EF1-3EAC-4567-AC23-24056722F79B}"/>
            </a:ext>
          </a:extLst>
        </xdr:cNvPr>
        <xdr:cNvSpPr/>
      </xdr:nvSpPr>
      <xdr:spPr bwMode="auto">
        <a:xfrm>
          <a:off x="21907500" y="179832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135</xdr:row>
      <xdr:rowOff>0</xdr:rowOff>
    </xdr:from>
    <xdr:ext cx="873760" cy="295851"/>
    <xdr:sp macro="" textlink="">
      <xdr:nvSpPr>
        <xdr:cNvPr id="3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38120407-AF2E-47F9-8881-96CF2CA11019}"/>
            </a:ext>
          </a:extLst>
        </xdr:cNvPr>
        <xdr:cNvSpPr/>
      </xdr:nvSpPr>
      <xdr:spPr bwMode="auto">
        <a:xfrm>
          <a:off x="21907500" y="2543175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115</xdr:row>
      <xdr:rowOff>0</xdr:rowOff>
    </xdr:from>
    <xdr:ext cx="873760" cy="295851"/>
    <xdr:sp macro="" textlink="">
      <xdr:nvSpPr>
        <xdr:cNvPr id="40"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DC72B57-576F-40AE-9ED8-494121CAD2BF}"/>
            </a:ext>
          </a:extLst>
        </xdr:cNvPr>
        <xdr:cNvSpPr/>
      </xdr:nvSpPr>
      <xdr:spPr bwMode="auto">
        <a:xfrm>
          <a:off x="21907500" y="21602700"/>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134</xdr:row>
      <xdr:rowOff>0</xdr:rowOff>
    </xdr:from>
    <xdr:ext cx="876300" cy="286385"/>
    <xdr:sp macro="" textlink="">
      <xdr:nvSpPr>
        <xdr:cNvPr id="41" name="CommandButton1" hidden="1">
          <a:extLst>
            <a:ext uri="{63B3BB69-23CF-44E3-9099-C40C66FF867C}">
              <a14:compatExt xmlns:a14="http://schemas.microsoft.com/office/drawing/2010/main" spid="_x0000_s4099"/>
            </a:ext>
            <a:ext uri="{FF2B5EF4-FFF2-40B4-BE49-F238E27FC236}">
              <a16:creationId xmlns:a16="http://schemas.microsoft.com/office/drawing/2014/main" xmlns="" id="{88EE8F3A-9B59-425E-86FD-E89D86DDA0E3}"/>
            </a:ext>
          </a:extLst>
        </xdr:cNvPr>
        <xdr:cNvSpPr/>
      </xdr:nvSpPr>
      <xdr:spPr bwMode="auto">
        <a:xfrm>
          <a:off x="21907500" y="25241250"/>
          <a:ext cx="876300" cy="2863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37</xdr:col>
      <xdr:colOff>0</xdr:colOff>
      <xdr:row>133</xdr:row>
      <xdr:rowOff>0</xdr:rowOff>
    </xdr:from>
    <xdr:ext cx="886460" cy="314901"/>
    <xdr:sp macro="" textlink="">
      <xdr:nvSpPr>
        <xdr:cNvPr id="4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2EB378A-3003-4647-AD78-5FCAB21E1E72}"/>
            </a:ext>
          </a:extLst>
        </xdr:cNvPr>
        <xdr:cNvSpPr/>
      </xdr:nvSpPr>
      <xdr:spPr bwMode="auto">
        <a:xfrm>
          <a:off x="21907500" y="2504122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68</xdr:row>
      <xdr:rowOff>0</xdr:rowOff>
    </xdr:from>
    <xdr:ext cx="868892" cy="282715"/>
    <xdr:sp macro="" textlink="">
      <xdr:nvSpPr>
        <xdr:cNvPr id="28"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0000000-0008-0000-0800-000002000000}"/>
            </a:ext>
          </a:extLst>
        </xdr:cNvPr>
        <xdr:cNvSpPr/>
      </xdr:nvSpPr>
      <xdr:spPr bwMode="auto">
        <a:xfrm>
          <a:off x="142875" y="5591175"/>
          <a:ext cx="837777" cy="29033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47</xdr:row>
      <xdr:rowOff>0</xdr:rowOff>
    </xdr:from>
    <xdr:ext cx="883285" cy="311726"/>
    <xdr:sp macro="" textlink="">
      <xdr:nvSpPr>
        <xdr:cNvPr id="2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800-000003000000}"/>
            </a:ext>
          </a:extLst>
        </xdr:cNvPr>
        <xdr:cNvSpPr/>
      </xdr:nvSpPr>
      <xdr:spPr bwMode="auto">
        <a:xfrm>
          <a:off x="476250" y="5038725"/>
          <a:ext cx="873760" cy="2958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68</xdr:row>
      <xdr:rowOff>0</xdr:rowOff>
    </xdr:from>
    <xdr:ext cx="873760" cy="305376"/>
    <xdr:sp macro="" textlink="">
      <xdr:nvSpPr>
        <xdr:cNvPr id="31"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800-000004000000}"/>
            </a:ext>
          </a:extLst>
        </xdr:cNvPr>
        <xdr:cNvSpPr/>
      </xdr:nvSpPr>
      <xdr:spPr bwMode="auto">
        <a:xfrm>
          <a:off x="476250" y="5029200"/>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66</xdr:row>
      <xdr:rowOff>0</xdr:rowOff>
    </xdr:from>
    <xdr:ext cx="886460" cy="314901"/>
    <xdr:sp macro="" textlink="">
      <xdr:nvSpPr>
        <xdr:cNvPr id="2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800-000005000000}"/>
            </a:ext>
          </a:extLst>
        </xdr:cNvPr>
        <xdr:cNvSpPr/>
      </xdr:nvSpPr>
      <xdr:spPr bwMode="auto">
        <a:xfrm>
          <a:off x="476250" y="483870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68</xdr:row>
      <xdr:rowOff>0</xdr:rowOff>
    </xdr:from>
    <xdr:ext cx="883285" cy="311726"/>
    <xdr:sp macro="" textlink="">
      <xdr:nvSpPr>
        <xdr:cNvPr id="2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0437354-6343-4581-B349-196C834C5875}"/>
            </a:ext>
          </a:extLst>
        </xdr:cNvPr>
        <xdr:cNvSpPr/>
      </xdr:nvSpPr>
      <xdr:spPr bwMode="auto">
        <a:xfrm>
          <a:off x="476250" y="521970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68</xdr:row>
      <xdr:rowOff>0</xdr:rowOff>
    </xdr:from>
    <xdr:ext cx="872702" cy="285115"/>
    <xdr:sp macro="" textlink="">
      <xdr:nvSpPr>
        <xdr:cNvPr id="30"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9A5B44E-58A6-4DB4-A80D-311B43E5B969}"/>
            </a:ext>
          </a:extLst>
        </xdr:cNvPr>
        <xdr:cNvSpPr/>
      </xdr:nvSpPr>
      <xdr:spPr bwMode="auto">
        <a:xfrm>
          <a:off x="476250" y="27393900"/>
          <a:ext cx="85746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68</xdr:row>
      <xdr:rowOff>0</xdr:rowOff>
    </xdr:from>
    <xdr:ext cx="868892" cy="282715"/>
    <xdr:sp macro="" textlink="">
      <xdr:nvSpPr>
        <xdr:cNvPr id="14"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814F2473-C3A7-459D-9AE2-FB567CFD069A}"/>
            </a:ext>
          </a:extLst>
        </xdr:cNvPr>
        <xdr:cNvSpPr/>
      </xdr:nvSpPr>
      <xdr:spPr bwMode="auto">
        <a:xfrm>
          <a:off x="487680" y="12664440"/>
          <a:ext cx="868892" cy="2827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47</xdr:row>
      <xdr:rowOff>0</xdr:rowOff>
    </xdr:from>
    <xdr:ext cx="883285" cy="311726"/>
    <xdr:sp macro="" textlink="">
      <xdr:nvSpPr>
        <xdr:cNvPr id="1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91816B4F-66F0-4D64-B8BC-883B683B54CC}"/>
            </a:ext>
          </a:extLst>
        </xdr:cNvPr>
        <xdr:cNvSpPr/>
      </xdr:nvSpPr>
      <xdr:spPr bwMode="auto">
        <a:xfrm>
          <a:off x="487680" y="862584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68</xdr:row>
      <xdr:rowOff>0</xdr:rowOff>
    </xdr:from>
    <xdr:ext cx="873760" cy="305376"/>
    <xdr:sp macro="" textlink="">
      <xdr:nvSpPr>
        <xdr:cNvPr id="1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FC915BCB-3DE9-4A36-A48D-78E99A01A652}"/>
            </a:ext>
          </a:extLst>
        </xdr:cNvPr>
        <xdr:cNvSpPr/>
      </xdr:nvSpPr>
      <xdr:spPr bwMode="auto">
        <a:xfrm>
          <a:off x="487680" y="12664440"/>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66</xdr:row>
      <xdr:rowOff>0</xdr:rowOff>
    </xdr:from>
    <xdr:ext cx="886460" cy="314901"/>
    <xdr:sp macro="" textlink="">
      <xdr:nvSpPr>
        <xdr:cNvPr id="1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1C958FA-6B40-4B09-8D2D-677E28C915A4}"/>
            </a:ext>
          </a:extLst>
        </xdr:cNvPr>
        <xdr:cNvSpPr/>
      </xdr:nvSpPr>
      <xdr:spPr bwMode="auto">
        <a:xfrm>
          <a:off x="487680" y="1227582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68</xdr:row>
      <xdr:rowOff>0</xdr:rowOff>
    </xdr:from>
    <xdr:ext cx="883285" cy="311726"/>
    <xdr:sp macro="" textlink="">
      <xdr:nvSpPr>
        <xdr:cNvPr id="18"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7256A896-4E55-4727-AE55-CA64780DCDB6}"/>
            </a:ext>
          </a:extLst>
        </xdr:cNvPr>
        <xdr:cNvSpPr/>
      </xdr:nvSpPr>
      <xdr:spPr bwMode="auto">
        <a:xfrm>
          <a:off x="487680" y="1266444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68</xdr:row>
      <xdr:rowOff>0</xdr:rowOff>
    </xdr:from>
    <xdr:ext cx="872702" cy="285115"/>
    <xdr:sp macro="" textlink="">
      <xdr:nvSpPr>
        <xdr:cNvPr id="19"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ED44860C-4548-4EC4-B8B1-1439A3251AD7}"/>
            </a:ext>
          </a:extLst>
        </xdr:cNvPr>
        <xdr:cNvSpPr/>
      </xdr:nvSpPr>
      <xdr:spPr bwMode="auto">
        <a:xfrm>
          <a:off x="487680" y="12664440"/>
          <a:ext cx="87270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68</xdr:row>
      <xdr:rowOff>0</xdr:rowOff>
    </xdr:from>
    <xdr:ext cx="868892" cy="282715"/>
    <xdr:sp macro="" textlink="">
      <xdr:nvSpPr>
        <xdr:cNvPr id="20"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9A9E2DE7-C9C5-4FAC-BBE8-5FD4C0C62290}"/>
            </a:ext>
          </a:extLst>
        </xdr:cNvPr>
        <xdr:cNvSpPr/>
      </xdr:nvSpPr>
      <xdr:spPr bwMode="auto">
        <a:xfrm>
          <a:off x="487680" y="12664440"/>
          <a:ext cx="868892" cy="2827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47</xdr:row>
      <xdr:rowOff>0</xdr:rowOff>
    </xdr:from>
    <xdr:ext cx="883285" cy="311726"/>
    <xdr:sp macro="" textlink="">
      <xdr:nvSpPr>
        <xdr:cNvPr id="21"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F8F7EAB9-5A5B-4C4F-8391-D4FD3E8E38AD}"/>
            </a:ext>
          </a:extLst>
        </xdr:cNvPr>
        <xdr:cNvSpPr/>
      </xdr:nvSpPr>
      <xdr:spPr bwMode="auto">
        <a:xfrm>
          <a:off x="487680" y="862584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68</xdr:row>
      <xdr:rowOff>0</xdr:rowOff>
    </xdr:from>
    <xdr:ext cx="873760" cy="305376"/>
    <xdr:sp macro="" textlink="">
      <xdr:nvSpPr>
        <xdr:cNvPr id="2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EB725064-5CA9-4452-BF2D-89729DA5E5DF}"/>
            </a:ext>
          </a:extLst>
        </xdr:cNvPr>
        <xdr:cNvSpPr/>
      </xdr:nvSpPr>
      <xdr:spPr bwMode="auto">
        <a:xfrm>
          <a:off x="487680" y="12664440"/>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66</xdr:row>
      <xdr:rowOff>0</xdr:rowOff>
    </xdr:from>
    <xdr:ext cx="886460" cy="314901"/>
    <xdr:sp macro="" textlink="">
      <xdr:nvSpPr>
        <xdr:cNvPr id="23"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D4E0B6EF-1231-4D0E-BC2F-D5E279A3E995}"/>
            </a:ext>
          </a:extLst>
        </xdr:cNvPr>
        <xdr:cNvSpPr/>
      </xdr:nvSpPr>
      <xdr:spPr bwMode="auto">
        <a:xfrm>
          <a:off x="487680" y="1227582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68</xdr:row>
      <xdr:rowOff>0</xdr:rowOff>
    </xdr:from>
    <xdr:ext cx="883285" cy="311726"/>
    <xdr:sp macro="" textlink="">
      <xdr:nvSpPr>
        <xdr:cNvPr id="2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C1BF692-2D73-45E0-8284-0706B942B15B}"/>
            </a:ext>
          </a:extLst>
        </xdr:cNvPr>
        <xdr:cNvSpPr/>
      </xdr:nvSpPr>
      <xdr:spPr bwMode="auto">
        <a:xfrm>
          <a:off x="487680" y="1266444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68</xdr:row>
      <xdr:rowOff>0</xdr:rowOff>
    </xdr:from>
    <xdr:ext cx="872702" cy="285115"/>
    <xdr:sp macro="" textlink="">
      <xdr:nvSpPr>
        <xdr:cNvPr id="25"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78ADE25-1648-4AFE-95C7-E861A8A9304F}"/>
            </a:ext>
          </a:extLst>
        </xdr:cNvPr>
        <xdr:cNvSpPr/>
      </xdr:nvSpPr>
      <xdr:spPr bwMode="auto">
        <a:xfrm>
          <a:off x="487680" y="12664440"/>
          <a:ext cx="87270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65</xdr:row>
      <xdr:rowOff>0</xdr:rowOff>
    </xdr:from>
    <xdr:ext cx="886460" cy="314901"/>
    <xdr:sp macro="" textlink="">
      <xdr:nvSpPr>
        <xdr:cNvPr id="37"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900-000005000000}"/>
            </a:ext>
          </a:extLst>
        </xdr:cNvPr>
        <xdr:cNvSpPr/>
      </xdr:nvSpPr>
      <xdr:spPr bwMode="auto">
        <a:xfrm>
          <a:off x="476250" y="808990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46</xdr:row>
      <xdr:rowOff>0</xdr:rowOff>
    </xdr:from>
    <xdr:ext cx="911860" cy="332681"/>
    <xdr:sp macro="" textlink="">
      <xdr:nvSpPr>
        <xdr:cNvPr id="3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900-000007000000}"/>
            </a:ext>
          </a:extLst>
        </xdr:cNvPr>
        <xdr:cNvSpPr/>
      </xdr:nvSpPr>
      <xdr:spPr bwMode="auto">
        <a:xfrm>
          <a:off x="476250" y="483870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67</xdr:row>
      <xdr:rowOff>0</xdr:rowOff>
    </xdr:from>
    <xdr:ext cx="886460" cy="314901"/>
    <xdr:sp macro="" textlink="">
      <xdr:nvSpPr>
        <xdr:cNvPr id="3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57B4B0C7-44EE-472D-9E9A-639842904F20}"/>
            </a:ext>
          </a:extLst>
        </xdr:cNvPr>
        <xdr:cNvSpPr/>
      </xdr:nvSpPr>
      <xdr:spPr bwMode="auto">
        <a:xfrm>
          <a:off x="476250" y="93249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72</xdr:row>
      <xdr:rowOff>0</xdr:rowOff>
    </xdr:from>
    <xdr:ext cx="886460" cy="314901"/>
    <xdr:sp macro="" textlink="">
      <xdr:nvSpPr>
        <xdr:cNvPr id="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D98FE3FE-F7B9-464F-A907-24DA67C3730E}"/>
            </a:ext>
          </a:extLst>
        </xdr:cNvPr>
        <xdr:cNvSpPr/>
      </xdr:nvSpPr>
      <xdr:spPr bwMode="auto">
        <a:xfrm>
          <a:off x="476250" y="9324975"/>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67</xdr:row>
      <xdr:rowOff>0</xdr:rowOff>
    </xdr:from>
    <xdr:ext cx="868892" cy="271285"/>
    <xdr:sp macro="" textlink="">
      <xdr:nvSpPr>
        <xdr:cNvPr id="31"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468B34BE-79A0-494C-8E88-4B088796AB8D}"/>
            </a:ext>
          </a:extLst>
        </xdr:cNvPr>
        <xdr:cNvSpPr/>
      </xdr:nvSpPr>
      <xdr:spPr bwMode="auto">
        <a:xfrm>
          <a:off x="476250" y="8677275"/>
          <a:ext cx="853652" cy="2827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67</xdr:row>
      <xdr:rowOff>0</xdr:rowOff>
    </xdr:from>
    <xdr:ext cx="873760" cy="305376"/>
    <xdr:sp macro="" textlink="">
      <xdr:nvSpPr>
        <xdr:cNvPr id="33"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8FD3DBF4-6577-4D27-8044-0D052664CAE2}"/>
            </a:ext>
          </a:extLst>
        </xdr:cNvPr>
        <xdr:cNvSpPr/>
      </xdr:nvSpPr>
      <xdr:spPr bwMode="auto">
        <a:xfrm>
          <a:off x="476250" y="8677275"/>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67</xdr:row>
      <xdr:rowOff>0</xdr:rowOff>
    </xdr:from>
    <xdr:ext cx="883285" cy="311726"/>
    <xdr:sp macro="" textlink="">
      <xdr:nvSpPr>
        <xdr:cNvPr id="3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4A62CA91-EB3C-47D0-B072-A8E90133F5AC}"/>
            </a:ext>
          </a:extLst>
        </xdr:cNvPr>
        <xdr:cNvSpPr/>
      </xdr:nvSpPr>
      <xdr:spPr bwMode="auto">
        <a:xfrm>
          <a:off x="476250" y="8677275"/>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67</xdr:row>
      <xdr:rowOff>0</xdr:rowOff>
    </xdr:from>
    <xdr:ext cx="872702" cy="273685"/>
    <xdr:sp macro="" textlink="">
      <xdr:nvSpPr>
        <xdr:cNvPr id="34"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8842BD85-8C03-429D-988D-8441D2419EAA}"/>
            </a:ext>
          </a:extLst>
        </xdr:cNvPr>
        <xdr:cNvSpPr/>
      </xdr:nvSpPr>
      <xdr:spPr bwMode="auto">
        <a:xfrm>
          <a:off x="476250" y="8677275"/>
          <a:ext cx="857462" cy="285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65</xdr:row>
      <xdr:rowOff>0</xdr:rowOff>
    </xdr:from>
    <xdr:ext cx="886460" cy="314901"/>
    <xdr:sp macro="" textlink="">
      <xdr:nvSpPr>
        <xdr:cNvPr id="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970AEA9-E003-4D77-8604-DBD29404446F}"/>
            </a:ext>
          </a:extLst>
        </xdr:cNvPr>
        <xdr:cNvSpPr/>
      </xdr:nvSpPr>
      <xdr:spPr bwMode="auto">
        <a:xfrm>
          <a:off x="487680" y="1216152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46</xdr:row>
      <xdr:rowOff>0</xdr:rowOff>
    </xdr:from>
    <xdr:ext cx="911860" cy="332681"/>
    <xdr:sp macro="" textlink="">
      <xdr:nvSpPr>
        <xdr:cNvPr id="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1620C3CE-DA90-4196-A049-9602FCDB62EF}"/>
            </a:ext>
          </a:extLst>
        </xdr:cNvPr>
        <xdr:cNvSpPr/>
      </xdr:nvSpPr>
      <xdr:spPr bwMode="auto">
        <a:xfrm>
          <a:off x="487680" y="8496300"/>
          <a:ext cx="911860" cy="3326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67</xdr:row>
      <xdr:rowOff>0</xdr:rowOff>
    </xdr:from>
    <xdr:ext cx="886460" cy="314901"/>
    <xdr:sp macro="" textlink="">
      <xdr:nvSpPr>
        <xdr:cNvPr id="12"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52ED5626-8C25-4E62-B3FC-41FF2297FEEB}"/>
            </a:ext>
          </a:extLst>
        </xdr:cNvPr>
        <xdr:cNvSpPr/>
      </xdr:nvSpPr>
      <xdr:spPr bwMode="auto">
        <a:xfrm>
          <a:off x="487680" y="1253490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67</xdr:row>
      <xdr:rowOff>0</xdr:rowOff>
    </xdr:from>
    <xdr:ext cx="868892" cy="271285"/>
    <xdr:sp macro="" textlink="">
      <xdr:nvSpPr>
        <xdr:cNvPr id="13"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AC4A5DEC-0E32-4251-AE7C-B3C765533EE0}"/>
            </a:ext>
          </a:extLst>
        </xdr:cNvPr>
        <xdr:cNvSpPr/>
      </xdr:nvSpPr>
      <xdr:spPr bwMode="auto">
        <a:xfrm>
          <a:off x="487680" y="12534900"/>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67</xdr:row>
      <xdr:rowOff>0</xdr:rowOff>
    </xdr:from>
    <xdr:ext cx="873760" cy="305376"/>
    <xdr:sp macro="" textlink="">
      <xdr:nvSpPr>
        <xdr:cNvPr id="1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2808CE27-A9ED-4EFE-8948-1178583391EF}"/>
            </a:ext>
          </a:extLst>
        </xdr:cNvPr>
        <xdr:cNvSpPr/>
      </xdr:nvSpPr>
      <xdr:spPr bwMode="auto">
        <a:xfrm>
          <a:off x="487680" y="12534900"/>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67</xdr:row>
      <xdr:rowOff>0</xdr:rowOff>
    </xdr:from>
    <xdr:ext cx="883285" cy="311726"/>
    <xdr:sp macro="" textlink="">
      <xdr:nvSpPr>
        <xdr:cNvPr id="1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C7D0EC7-0A85-4C35-8F17-CEB58283E462}"/>
            </a:ext>
          </a:extLst>
        </xdr:cNvPr>
        <xdr:cNvSpPr/>
      </xdr:nvSpPr>
      <xdr:spPr bwMode="auto">
        <a:xfrm>
          <a:off x="487680" y="1253490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0</xdr:colOff>
      <xdr:row>67</xdr:row>
      <xdr:rowOff>0</xdr:rowOff>
    </xdr:from>
    <xdr:ext cx="872702" cy="273685"/>
    <xdr:sp macro="" textlink="">
      <xdr:nvSpPr>
        <xdr:cNvPr id="16"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04805719-3364-478B-BEEA-BC196A5CCB12}"/>
            </a:ext>
          </a:extLst>
        </xdr:cNvPr>
        <xdr:cNvSpPr/>
      </xdr:nvSpPr>
      <xdr:spPr bwMode="auto">
        <a:xfrm>
          <a:off x="487680" y="12534900"/>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65</xdr:row>
      <xdr:rowOff>0</xdr:rowOff>
    </xdr:from>
    <xdr:ext cx="886460" cy="314901"/>
    <xdr:sp macro="" textlink="">
      <xdr:nvSpPr>
        <xdr:cNvPr id="24"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266588D4-564D-4940-807C-B141C9464BB7}"/>
            </a:ext>
          </a:extLst>
        </xdr:cNvPr>
        <xdr:cNvSpPr/>
      </xdr:nvSpPr>
      <xdr:spPr bwMode="auto">
        <a:xfrm>
          <a:off x="487680" y="1216152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46</xdr:row>
      <xdr:rowOff>0</xdr:rowOff>
    </xdr:from>
    <xdr:ext cx="911860" cy="332681"/>
    <xdr:sp macro="" textlink="">
      <xdr:nvSpPr>
        <xdr:cNvPr id="2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F6B1D5B-0541-4AB5-A473-403B0FEAA363}"/>
            </a:ext>
          </a:extLst>
        </xdr:cNvPr>
        <xdr:cNvSpPr/>
      </xdr:nvSpPr>
      <xdr:spPr bwMode="auto">
        <a:xfrm>
          <a:off x="487680" y="8496300"/>
          <a:ext cx="911860" cy="3326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67</xdr:row>
      <xdr:rowOff>0</xdr:rowOff>
    </xdr:from>
    <xdr:ext cx="886460" cy="314901"/>
    <xdr:sp macro="" textlink="">
      <xdr:nvSpPr>
        <xdr:cNvPr id="2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20932E02-409A-47BB-9826-7AED379F1400}"/>
            </a:ext>
          </a:extLst>
        </xdr:cNvPr>
        <xdr:cNvSpPr/>
      </xdr:nvSpPr>
      <xdr:spPr bwMode="auto">
        <a:xfrm>
          <a:off x="487680" y="12534900"/>
          <a:ext cx="886460" cy="3149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67</xdr:row>
      <xdr:rowOff>0</xdr:rowOff>
    </xdr:from>
    <xdr:ext cx="868892" cy="271285"/>
    <xdr:sp macro="" textlink="">
      <xdr:nvSpPr>
        <xdr:cNvPr id="27"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379D74C8-6C79-4E30-A8D2-1DC34C2FE23B}"/>
            </a:ext>
          </a:extLst>
        </xdr:cNvPr>
        <xdr:cNvSpPr/>
      </xdr:nvSpPr>
      <xdr:spPr bwMode="auto">
        <a:xfrm>
          <a:off x="487680" y="12534900"/>
          <a:ext cx="868892" cy="2712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67</xdr:row>
      <xdr:rowOff>0</xdr:rowOff>
    </xdr:from>
    <xdr:ext cx="873760" cy="305376"/>
    <xdr:sp macro="" textlink="">
      <xdr:nvSpPr>
        <xdr:cNvPr id="28"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69E03412-80E2-43B7-B2CC-1230A78FE903}"/>
            </a:ext>
          </a:extLst>
        </xdr:cNvPr>
        <xdr:cNvSpPr/>
      </xdr:nvSpPr>
      <xdr:spPr bwMode="auto">
        <a:xfrm>
          <a:off x="487680" y="12534900"/>
          <a:ext cx="873760" cy="3053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67</xdr:row>
      <xdr:rowOff>0</xdr:rowOff>
    </xdr:from>
    <xdr:ext cx="883285" cy="311726"/>
    <xdr:sp macro="" textlink="">
      <xdr:nvSpPr>
        <xdr:cNvPr id="29"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53F52727-C38F-4F81-A4A8-84E5D31F2506}"/>
            </a:ext>
          </a:extLst>
        </xdr:cNvPr>
        <xdr:cNvSpPr/>
      </xdr:nvSpPr>
      <xdr:spPr bwMode="auto">
        <a:xfrm>
          <a:off x="487680" y="12534900"/>
          <a:ext cx="883285" cy="3117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23</xdr:col>
      <xdr:colOff>0</xdr:colOff>
      <xdr:row>67</xdr:row>
      <xdr:rowOff>0</xdr:rowOff>
    </xdr:from>
    <xdr:ext cx="872702" cy="273685"/>
    <xdr:sp macro="" textlink="">
      <xdr:nvSpPr>
        <xdr:cNvPr id="30" name="CommandButton1" hidden="1">
          <a:extLst>
            <a:ext uri="{63B3BB69-23CF-44E3-9099-C40C66FF867C}">
              <a14:compatExt xmlns:a14="http://schemas.microsoft.com/office/drawing/2010/main" spid="_x0000_s6148"/>
            </a:ext>
            <a:ext uri="{FF2B5EF4-FFF2-40B4-BE49-F238E27FC236}">
              <a16:creationId xmlns:a16="http://schemas.microsoft.com/office/drawing/2014/main" xmlns="" id="{D6506950-5B4F-496A-B8BE-47C9A2E71A85}"/>
            </a:ext>
          </a:extLst>
        </xdr:cNvPr>
        <xdr:cNvSpPr/>
      </xdr:nvSpPr>
      <xdr:spPr bwMode="auto">
        <a:xfrm>
          <a:off x="487680" y="12534900"/>
          <a:ext cx="872702" cy="273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52</xdr:row>
      <xdr:rowOff>0</xdr:rowOff>
    </xdr:from>
    <xdr:ext cx="908050" cy="323156"/>
    <xdr:sp macro="" textlink="">
      <xdr:nvSpPr>
        <xdr:cNvPr id="6"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00000000-0008-0000-0A00-000002000000}"/>
            </a:ext>
          </a:extLst>
        </xdr:cNvPr>
        <xdr:cNvSpPr/>
      </xdr:nvSpPr>
      <xdr:spPr bwMode="auto">
        <a:xfrm>
          <a:off x="476250" y="3943350"/>
          <a:ext cx="883285" cy="33077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15</xdr:col>
      <xdr:colOff>0</xdr:colOff>
      <xdr:row>52</xdr:row>
      <xdr:rowOff>0</xdr:rowOff>
    </xdr:from>
    <xdr:ext cx="908050" cy="323156"/>
    <xdr:sp macro="" textlink="">
      <xdr:nvSpPr>
        <xdr:cNvPr id="3"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CD940669-E347-48E0-8D27-0AC1CC96AD71}"/>
            </a:ext>
          </a:extLst>
        </xdr:cNvPr>
        <xdr:cNvSpPr/>
      </xdr:nvSpPr>
      <xdr:spPr bwMode="auto">
        <a:xfrm>
          <a:off x="487680" y="9982200"/>
          <a:ext cx="908050" cy="32315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29</xdr:col>
      <xdr:colOff>0</xdr:colOff>
      <xdr:row>52</xdr:row>
      <xdr:rowOff>0</xdr:rowOff>
    </xdr:from>
    <xdr:ext cx="908050" cy="323156"/>
    <xdr:sp macro="" textlink="">
      <xdr:nvSpPr>
        <xdr:cNvPr id="5" name="CommandButton1" hidden="1">
          <a:extLst>
            <a:ext uri="{63B3BB69-23CF-44E3-9099-C40C66FF867C}">
              <a14:compatExt xmlns:a14="http://schemas.microsoft.com/office/drawing/2010/main" spid="_x0000_s7172"/>
            </a:ext>
            <a:ext uri="{FF2B5EF4-FFF2-40B4-BE49-F238E27FC236}">
              <a16:creationId xmlns:a16="http://schemas.microsoft.com/office/drawing/2014/main" xmlns="" id="{99B5EF7D-C472-48E3-9085-E7220BF86EA5}"/>
            </a:ext>
          </a:extLst>
        </xdr:cNvPr>
        <xdr:cNvSpPr/>
      </xdr:nvSpPr>
      <xdr:spPr bwMode="auto">
        <a:xfrm>
          <a:off x="487680" y="9982200"/>
          <a:ext cx="908050" cy="32315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iorg.sharepoint.com/Users/NoorShaikh/Desktop/Anthesis%20Documents/GHG%20Inventory%20Tool_2020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Data overview"/>
      <sheetName val="Data collection template"/>
      <sheetName val="KEY RESULTS"/>
      <sheetName val="Results facilities"/>
      <sheetName val="Results CDP"/>
      <sheetName val="Results DJSI"/>
      <sheetName val="Results GRI"/>
      <sheetName val="Parameters"/>
      <sheetName val="Facility_Info"/>
      <sheetName val="INVENTORY"/>
      <sheetName val="Emission factors"/>
      <sheetName val="Mobile EF"/>
      <sheetName val="SOURCES_US EPA"/>
      <sheetName val="SOURCES_various"/>
      <sheetName val="SOURCES_IEA"/>
      <sheetName val="Dropdowns"/>
      <sheetName val="REF_GWP"/>
      <sheetName val="REF_Conversions"/>
      <sheetName val="REF_OtherUnitConversions"/>
      <sheetName val="REF_Building_Intensity"/>
      <sheetName val="REF_Zipcodes eGR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8">
          <cell r="A8" t="str">
            <v>Emission source</v>
          </cell>
          <cell r="B8" t="str">
            <v>Standardized unit</v>
          </cell>
        </row>
        <row r="9">
          <cell r="A9" t="str">
            <v>Electricity</v>
          </cell>
          <cell r="B9" t="str">
            <v>kWh</v>
          </cell>
        </row>
        <row r="10">
          <cell r="A10" t="str">
            <v>Electricity - Residual</v>
          </cell>
          <cell r="B10" t="str">
            <v>kWh</v>
          </cell>
        </row>
        <row r="11">
          <cell r="A11" t="str">
            <v>Diesel Fuel / Distillate Fuel Oil No. 2</v>
          </cell>
          <cell r="B11" t="str">
            <v>gal (US)</v>
          </cell>
        </row>
        <row r="12">
          <cell r="A12" t="str">
            <v>Gasoline</v>
          </cell>
          <cell r="B12" t="str">
            <v>gal (US)</v>
          </cell>
        </row>
        <row r="13">
          <cell r="A13" t="str">
            <v>Natural Gas</v>
          </cell>
          <cell r="B13" t="str">
            <v>therm</v>
          </cell>
        </row>
        <row r="14">
          <cell r="A14" t="str">
            <v>Propane</v>
          </cell>
          <cell r="B14" t="str">
            <v>gal (US)</v>
          </cell>
        </row>
        <row r="15">
          <cell r="A15" t="str">
            <v>Liquefied Petroleum Gases (LPG)</v>
          </cell>
          <cell r="B15" t="str">
            <v>gal (US)</v>
          </cell>
        </row>
        <row r="16">
          <cell r="A16" t="str">
            <v>Residual Fuel Oil No. 6</v>
          </cell>
          <cell r="B16" t="str">
            <v>gal (US)</v>
          </cell>
        </row>
        <row r="17">
          <cell r="A17" t="str">
            <v>Kerosene</v>
          </cell>
          <cell r="B17" t="str">
            <v>gal (US)</v>
          </cell>
        </row>
        <row r="18">
          <cell r="A18" t="str">
            <v>Landfill Gas</v>
          </cell>
          <cell r="B18" t="str">
            <v>mmBtu</v>
          </cell>
        </row>
        <row r="19">
          <cell r="A19" t="str">
            <v>Other Biomass Gases</v>
          </cell>
          <cell r="B19" t="str">
            <v>mmBtu</v>
          </cell>
        </row>
        <row r="20">
          <cell r="A20" t="str">
            <v>Biodiesel (100%)</v>
          </cell>
          <cell r="B20" t="str">
            <v>gal (US)</v>
          </cell>
        </row>
        <row r="21">
          <cell r="A21" t="str">
            <v>Ethanol (100%)</v>
          </cell>
          <cell r="B21" t="str">
            <v>gal (US)</v>
          </cell>
        </row>
        <row r="22">
          <cell r="A22" t="str">
            <v>Refrigerants</v>
          </cell>
          <cell r="B22" t="str">
            <v>kg</v>
          </cell>
        </row>
        <row r="23">
          <cell r="A23" t="str">
            <v>Aviation Gasoline</v>
          </cell>
          <cell r="B23" t="str">
            <v>gal (US)</v>
          </cell>
        </row>
        <row r="24">
          <cell r="A24" t="str">
            <v>Jet Fuel</v>
          </cell>
          <cell r="B24" t="str">
            <v>gal (US)</v>
          </cell>
        </row>
        <row r="25">
          <cell r="A25" t="str">
            <v>Purchased heat  / steam</v>
          </cell>
          <cell r="B25" t="str">
            <v>mmBtu</v>
          </cell>
        </row>
        <row r="26">
          <cell r="A26" t="str">
            <v>Chilled Water</v>
          </cell>
          <cell r="B26" t="str">
            <v>mmBtu</v>
          </cell>
        </row>
        <row r="27">
          <cell r="A27" t="str">
            <v>Motor Gasoline - Mobile</v>
          </cell>
          <cell r="B27" t="str">
            <v>gal (US)</v>
          </cell>
        </row>
        <row r="28">
          <cell r="A28" t="str">
            <v>Diesel Fuel - Mobile</v>
          </cell>
          <cell r="B28" t="str">
            <v>gal (US)</v>
          </cell>
        </row>
        <row r="29">
          <cell r="A29" t="str">
            <v>Biodiesel (100%) - Mobile</v>
          </cell>
          <cell r="B29" t="str">
            <v>gal (US)</v>
          </cell>
        </row>
        <row r="30">
          <cell r="A30" t="str">
            <v>Compressed Natural Gas - Mobile</v>
          </cell>
          <cell r="B30" t="str">
            <v>scf</v>
          </cell>
        </row>
        <row r="31">
          <cell r="A31" t="str">
            <v>Ethanol (100%) - Mobile</v>
          </cell>
          <cell r="B31" t="str">
            <v>gal (US)</v>
          </cell>
        </row>
        <row r="32">
          <cell r="A32" t="str">
            <v>Jet Fuel - Mobile</v>
          </cell>
          <cell r="B32" t="str">
            <v>gal (US)</v>
          </cell>
        </row>
        <row r="33">
          <cell r="A33" t="str">
            <v>Aviation Gasoline - Mobile</v>
          </cell>
          <cell r="B33" t="str">
            <v>gal (US)</v>
          </cell>
        </row>
        <row r="34">
          <cell r="A34" t="str">
            <v>Electricity - Mobile</v>
          </cell>
          <cell r="B34" t="str">
            <v>kWh</v>
          </cell>
        </row>
        <row r="35">
          <cell r="A35" t="str">
            <v>Air travel -  Short Haul (&lt;300 miles)</v>
          </cell>
          <cell r="B35" t="str">
            <v>passenger-mile</v>
          </cell>
        </row>
        <row r="36">
          <cell r="A36" t="str">
            <v>Air Travel - Medium Haul (&gt;= 300 miles, &lt; 2300 miles) - Average passenger</v>
          </cell>
          <cell r="B36" t="str">
            <v>passenger-mile</v>
          </cell>
        </row>
        <row r="37">
          <cell r="A37" t="str">
            <v>Air Travel - Medium Haul (&gt;= 300 miles, &lt; 2300 miles) - Economy class</v>
          </cell>
          <cell r="B37" t="str">
            <v>passenger-mile</v>
          </cell>
        </row>
        <row r="38">
          <cell r="A38" t="str">
            <v>Air Travel - Medium Haul (&gt;= 300 miles, &lt; 2300 miles) - Business class</v>
          </cell>
          <cell r="B38" t="str">
            <v>passenger-mile</v>
          </cell>
        </row>
        <row r="39">
          <cell r="A39" t="str">
            <v>Air Travel - Long Haul (&gt;= 2300 miles) - Average passenger</v>
          </cell>
          <cell r="B39" t="str">
            <v>passenger-mile</v>
          </cell>
        </row>
        <row r="40">
          <cell r="A40" t="str">
            <v>Air Travel - Long Haul (&gt;= 2300 miles) - Economy passenger</v>
          </cell>
          <cell r="B40" t="str">
            <v>passenger-mile</v>
          </cell>
        </row>
        <row r="41">
          <cell r="A41" t="str">
            <v>Air Travel - Long Haul (&gt;= 2300 miles) - Premium economy class</v>
          </cell>
          <cell r="B41" t="str">
            <v>passenger-mile</v>
          </cell>
        </row>
        <row r="42">
          <cell r="A42" t="str">
            <v>Air Travel - Long Haul (&gt;= 2300 miles) - Business class</v>
          </cell>
          <cell r="B42" t="str">
            <v>passenger-mile</v>
          </cell>
        </row>
        <row r="43">
          <cell r="A43" t="str">
            <v>Air Travel - Long Haul (&gt;= 2300 miles) - First class</v>
          </cell>
          <cell r="B43" t="str">
            <v>passenger-mile</v>
          </cell>
        </row>
        <row r="44">
          <cell r="A44" t="str">
            <v>Passenger Car - Business travel</v>
          </cell>
          <cell r="B44" t="str">
            <v>vehicle-mile</v>
          </cell>
        </row>
        <row r="45">
          <cell r="A45" t="str">
            <v>Light-Duty Truck - Business travel</v>
          </cell>
          <cell r="B45" t="str">
            <v>vehicle-mile</v>
          </cell>
        </row>
        <row r="46">
          <cell r="A46" t="str">
            <v>Motorcycle - Business travel</v>
          </cell>
          <cell r="B46" t="str">
            <v>vehicle-mile</v>
          </cell>
        </row>
        <row r="47">
          <cell r="A47" t="str">
            <v>Intercity Rail (i.e. Amtrak) - Business travel</v>
          </cell>
          <cell r="B47" t="str">
            <v>passenger-mile</v>
          </cell>
        </row>
        <row r="48">
          <cell r="A48" t="str">
            <v>Commuter Rail - Business travel</v>
          </cell>
          <cell r="B48" t="str">
            <v>passenger-mile</v>
          </cell>
        </row>
        <row r="49">
          <cell r="A49" t="str">
            <v>Transit Rail (i.e. Subway, Tram) - Business travel</v>
          </cell>
          <cell r="B49" t="str">
            <v>passenger-mile</v>
          </cell>
        </row>
        <row r="50">
          <cell r="A50" t="str">
            <v>Bus - Business travel</v>
          </cell>
          <cell r="B50" t="str">
            <v>passenger-mile</v>
          </cell>
        </row>
        <row r="51">
          <cell r="A51" t="str">
            <v>Data Center PUE</v>
          </cell>
          <cell r="B51" t="str">
            <v>kWh</v>
          </cell>
        </row>
        <row r="52">
          <cell r="A52" t="str">
            <v>Hotel stay Average</v>
          </cell>
          <cell r="B52" t="str">
            <v>room per night</v>
          </cell>
        </row>
        <row r="53">
          <cell r="A53" t="str">
            <v>Hotel stay EUROPE</v>
          </cell>
          <cell r="B53" t="str">
            <v>room per night</v>
          </cell>
        </row>
        <row r="54">
          <cell r="A54" t="str">
            <v>Hotel stay MEA</v>
          </cell>
          <cell r="B54" t="str">
            <v>room per night</v>
          </cell>
        </row>
        <row r="55">
          <cell r="A55" t="str">
            <v>Hotel stay AMER</v>
          </cell>
          <cell r="B55" t="str">
            <v>room per night</v>
          </cell>
        </row>
        <row r="56">
          <cell r="A56" t="str">
            <v>Hotel stay APAC</v>
          </cell>
          <cell r="B56" t="str">
            <v>room per night</v>
          </cell>
        </row>
        <row r="57">
          <cell r="A57" t="str">
            <v>Hotel stay Argentina</v>
          </cell>
          <cell r="B57" t="str">
            <v>room per night</v>
          </cell>
        </row>
        <row r="58">
          <cell r="A58" t="str">
            <v>Hotel stay Australia</v>
          </cell>
          <cell r="B58" t="str">
            <v>room per night</v>
          </cell>
        </row>
        <row r="59">
          <cell r="A59" t="str">
            <v>Hotel stay Austria</v>
          </cell>
          <cell r="B59" t="str">
            <v>room per night</v>
          </cell>
        </row>
        <row r="60">
          <cell r="A60" t="str">
            <v>Hotel stay Belgium</v>
          </cell>
          <cell r="B60" t="str">
            <v>room per night</v>
          </cell>
        </row>
        <row r="61">
          <cell r="A61" t="str">
            <v>Hotel stay Brazil</v>
          </cell>
          <cell r="B61" t="str">
            <v>room per night</v>
          </cell>
        </row>
        <row r="62">
          <cell r="A62" t="str">
            <v>Hotel stay Canada</v>
          </cell>
          <cell r="B62" t="str">
            <v>room per night</v>
          </cell>
        </row>
        <row r="63">
          <cell r="A63" t="str">
            <v>Hotel stay Caribbean Region</v>
          </cell>
          <cell r="B63" t="str">
            <v>room per night</v>
          </cell>
        </row>
        <row r="64">
          <cell r="A64" t="str">
            <v>Hotel stay Chile</v>
          </cell>
          <cell r="B64" t="str">
            <v>room per night</v>
          </cell>
        </row>
        <row r="65">
          <cell r="A65" t="str">
            <v>Hotel stay China</v>
          </cell>
          <cell r="B65" t="str">
            <v>room per night</v>
          </cell>
        </row>
        <row r="66">
          <cell r="A66" t="str">
            <v>Hotel stay China (Hong Kong)</v>
          </cell>
          <cell r="B66" t="str">
            <v>room per night</v>
          </cell>
        </row>
        <row r="67">
          <cell r="A67" t="str">
            <v>Hotel stay Colombia</v>
          </cell>
          <cell r="B67" t="str">
            <v>room per night</v>
          </cell>
        </row>
        <row r="68">
          <cell r="A68" t="str">
            <v>Hotel stay Costa Rica</v>
          </cell>
          <cell r="B68" t="str">
            <v>room per night</v>
          </cell>
        </row>
        <row r="69">
          <cell r="A69" t="str">
            <v>Hotel stay Czech Republic</v>
          </cell>
          <cell r="B69" t="str">
            <v>room per night</v>
          </cell>
        </row>
        <row r="70">
          <cell r="A70" t="str">
            <v>Hotel stay Egypt</v>
          </cell>
          <cell r="B70" t="str">
            <v>room per night</v>
          </cell>
        </row>
        <row r="71">
          <cell r="A71" t="str">
            <v>Hotel stay France</v>
          </cell>
          <cell r="B71" t="str">
            <v>room per night</v>
          </cell>
        </row>
        <row r="72">
          <cell r="A72" t="str">
            <v>Hotel stay Germany</v>
          </cell>
          <cell r="B72" t="str">
            <v>room per night</v>
          </cell>
        </row>
        <row r="73">
          <cell r="A73" t="str">
            <v>Hotel stay Greece</v>
          </cell>
          <cell r="B73" t="str">
            <v>room per night</v>
          </cell>
        </row>
        <row r="74">
          <cell r="A74" t="str">
            <v>Hotel stay India</v>
          </cell>
          <cell r="B74" t="str">
            <v>room per night</v>
          </cell>
        </row>
        <row r="75">
          <cell r="A75" t="str">
            <v>Hotel stay Indonesia</v>
          </cell>
          <cell r="B75" t="str">
            <v>room per night</v>
          </cell>
        </row>
        <row r="76">
          <cell r="A76" t="str">
            <v>Hotel stay Ireland</v>
          </cell>
          <cell r="B76" t="str">
            <v>room per night</v>
          </cell>
        </row>
        <row r="77">
          <cell r="A77" t="str">
            <v>Hotel stay Israel</v>
          </cell>
          <cell r="B77" t="str">
            <v>room per night</v>
          </cell>
        </row>
        <row r="78">
          <cell r="A78" t="str">
            <v>Hotel stay Italy</v>
          </cell>
          <cell r="B78" t="str">
            <v>room per night</v>
          </cell>
        </row>
        <row r="79">
          <cell r="A79" t="str">
            <v>Hotel stay Japan</v>
          </cell>
          <cell r="B79" t="str">
            <v>room per night</v>
          </cell>
        </row>
        <row r="80">
          <cell r="A80" t="str">
            <v>Hotel stay Jordan</v>
          </cell>
          <cell r="B80" t="str">
            <v>room per night</v>
          </cell>
        </row>
        <row r="81">
          <cell r="A81" t="str">
            <v>Hotel stay Malaysia</v>
          </cell>
          <cell r="B81" t="str">
            <v>room per night</v>
          </cell>
        </row>
        <row r="82">
          <cell r="A82" t="str">
            <v>Hotel stay Mexico</v>
          </cell>
          <cell r="B82" t="str">
            <v>room per night</v>
          </cell>
        </row>
        <row r="83">
          <cell r="A83" t="str">
            <v>Hotel stay Netherlands</v>
          </cell>
          <cell r="B83" t="str">
            <v>room per night</v>
          </cell>
        </row>
        <row r="84">
          <cell r="A84" t="str">
            <v>Hotel stay New Zealand</v>
          </cell>
          <cell r="B84" t="str">
            <v>room per night</v>
          </cell>
        </row>
        <row r="85">
          <cell r="A85" t="str">
            <v>Hotel stay Panama</v>
          </cell>
          <cell r="B85" t="str">
            <v>room per night</v>
          </cell>
        </row>
        <row r="86">
          <cell r="A86" t="str">
            <v>Hotel stay Philippines</v>
          </cell>
          <cell r="B86" t="str">
            <v>room per night</v>
          </cell>
        </row>
        <row r="87">
          <cell r="A87" t="str">
            <v>Hotel stay Poland</v>
          </cell>
          <cell r="B87" t="str">
            <v>room per night</v>
          </cell>
        </row>
        <row r="88">
          <cell r="A88" t="str">
            <v>Hotel stay Portugal</v>
          </cell>
          <cell r="B88" t="str">
            <v>room per night</v>
          </cell>
        </row>
        <row r="89">
          <cell r="A89" t="str">
            <v>Hotel stay Qatar</v>
          </cell>
          <cell r="B89" t="str">
            <v>room per night</v>
          </cell>
        </row>
        <row r="90">
          <cell r="A90" t="str">
            <v>Hotel stay Russian Federation</v>
          </cell>
          <cell r="B90" t="str">
            <v>room per night</v>
          </cell>
        </row>
        <row r="91">
          <cell r="A91" t="str">
            <v>Hotel stay Saudi Arabia</v>
          </cell>
          <cell r="B91" t="str">
            <v>room per night</v>
          </cell>
        </row>
        <row r="92">
          <cell r="A92" t="str">
            <v>Hotel stay Singapore</v>
          </cell>
          <cell r="B92" t="str">
            <v>room per night</v>
          </cell>
        </row>
        <row r="93">
          <cell r="A93" t="str">
            <v>Hotel stay South Africa</v>
          </cell>
          <cell r="B93" t="str">
            <v>room per night</v>
          </cell>
        </row>
        <row r="94">
          <cell r="A94" t="str">
            <v>Hotel stay South Korea</v>
          </cell>
          <cell r="B94" t="str">
            <v>room per night</v>
          </cell>
        </row>
        <row r="95">
          <cell r="A95" t="str">
            <v>Hotel stay Spain</v>
          </cell>
          <cell r="B95" t="str">
            <v>room per night</v>
          </cell>
        </row>
        <row r="96">
          <cell r="A96" t="str">
            <v>Hotel stay Switzerland</v>
          </cell>
          <cell r="B96" t="str">
            <v>room per night</v>
          </cell>
        </row>
        <row r="97">
          <cell r="A97" t="str">
            <v>Hotel stay Taiwan</v>
          </cell>
          <cell r="B97" t="str">
            <v>room per night</v>
          </cell>
        </row>
        <row r="98">
          <cell r="A98" t="str">
            <v>Hotel stay Thailand</v>
          </cell>
          <cell r="B98" t="str">
            <v>room per night</v>
          </cell>
        </row>
        <row r="99">
          <cell r="A99" t="str">
            <v>Hotel stay Turkey</v>
          </cell>
          <cell r="B99" t="str">
            <v>room per night</v>
          </cell>
        </row>
        <row r="100">
          <cell r="A100" t="str">
            <v>Hotel stay United Arab Emirates</v>
          </cell>
          <cell r="B100" t="str">
            <v>room per night</v>
          </cell>
        </row>
        <row r="101">
          <cell r="A101" t="str">
            <v>Hotel stay UK</v>
          </cell>
          <cell r="B101" t="str">
            <v>room per night</v>
          </cell>
        </row>
        <row r="102">
          <cell r="A102" t="str">
            <v>Hotel stay United States</v>
          </cell>
          <cell r="B102" t="str">
            <v>room per night</v>
          </cell>
        </row>
        <row r="103">
          <cell r="A103" t="str">
            <v>Hotel stay Vietnam</v>
          </cell>
          <cell r="B103" t="str">
            <v>room per night</v>
          </cell>
        </row>
      </sheetData>
      <sheetData sheetId="19" refreshError="1"/>
      <sheetData sheetId="20" refreshError="1"/>
      <sheetData sheetId="21" refreshError="1"/>
    </sheetDataSet>
  </externalBook>
</externalLink>
</file>

<file path=xl/tables/table1.xml><?xml version="1.0" encoding="utf-8"?>
<table xmlns="http://schemas.openxmlformats.org/spreadsheetml/2006/main" id="1" name="Table1" displayName="Table1" ref="A10:AM47" totalsRowShown="0" headerRowDxfId="148" dataDxfId="147">
  <autoFilter ref="A10:AM47"/>
  <tableColumns count="39">
    <tableColumn id="1" name="Unit" dataDxfId="146"/>
    <tableColumn id="2" name="From Unit" dataDxfId="145"/>
    <tableColumn id="3" name="gal (US)" dataDxfId="144"/>
    <tableColumn id="4" name="L" dataDxfId="143"/>
    <tableColumn id="5" name="brl" dataDxfId="142"/>
    <tableColumn id="6" name="scf" dataDxfId="141"/>
    <tableColumn id="7" name="ft^3" dataDxfId="140"/>
    <tableColumn id="8" name="ccf" dataDxfId="139"/>
    <tableColumn id="9" name="yd^3" dataDxfId="138"/>
    <tableColumn id="10" name="m3" dataDxfId="137"/>
    <tableColumn id="11" name="cm^3" dataDxfId="136"/>
    <tableColumn id="12" name="t" dataDxfId="135"/>
    <tableColumn id="13" name="kg" dataDxfId="134"/>
    <tableColumn id="14" name="lb" dataDxfId="133"/>
    <tableColumn id="15" name="ton" dataDxfId="132"/>
    <tableColumn id="16" name="LT" dataDxfId="131"/>
    <tableColumn id="17" name="g" dataDxfId="130"/>
    <tableColumn id="18" name="mi" dataDxfId="129"/>
    <tableColumn id="19" name="nm" dataDxfId="128"/>
    <tableColumn id="20" name="m" dataDxfId="127"/>
    <tableColumn id="21" name="km" dataDxfId="126"/>
    <tableColumn id="22" name="kWh" dataDxfId="125"/>
    <tableColumn id="23" name="MWh" dataDxfId="124"/>
    <tableColumn id="24" name="GWh" dataDxfId="123"/>
    <tableColumn id="25" name="therm" dataDxfId="122"/>
    <tableColumn id="26" name="BTU" dataDxfId="121"/>
    <tableColumn id="27" name="MMBTU" dataDxfId="120"/>
    <tableColumn id="28" name="MJ" dataDxfId="119"/>
    <tableColumn id="29" name="GJ" dataDxfId="118"/>
    <tableColumn id="30" name="t-mi" dataDxfId="117"/>
    <tableColumn id="31" name="ton-mi" dataDxfId="116"/>
    <tableColumn id="32" name="ton-km" dataDxfId="115"/>
    <tableColumn id="33" name="t-km" dataDxfId="114"/>
    <tableColumn id="34" name="p-mi" dataDxfId="113"/>
    <tableColumn id="35" name="MPG" dataDxfId="112"/>
    <tableColumn id="36" name="L/km" dataDxfId="111"/>
    <tableColumn id="37" name="sq ft" dataDxfId="110"/>
    <tableColumn id="38" name="acre" dataDxfId="109"/>
    <tableColumn id="39" name="ha" dataDxfId="108"/>
  </tableColumns>
  <tableStyleInfo name="TableStyleMedium2" showFirstColumn="0" showLastColumn="0" showRowStripes="1" showColumnStripes="0"/>
</table>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hgprotocol.org/"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hyperlink" Target="https://ghgprotocol.org/life-cycle-databases"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ghgprotocol.org/life-cycle-databases"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ghgprotocol.org/life-cycle-databases"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https://www.gov.uk/government/publications/greenhouse-gas-reporting-conversion-factors-2022"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8" Type="http://schemas.openxmlformats.org/officeDocument/2006/relationships/hyperlink" Target="https://envir.ee/kliima/kliima/kasvuhoonegaasid-eestis" TargetMode="External"/><Relationship Id="rId13" Type="http://schemas.openxmlformats.org/officeDocument/2006/relationships/printerSettings" Target="../printerSettings/printerSettings22.bin"/><Relationship Id="rId3" Type="http://schemas.openxmlformats.org/officeDocument/2006/relationships/hyperlink" Target="https://www.emisia.com/utilities/copert/" TargetMode="External"/><Relationship Id="rId7" Type="http://schemas.openxmlformats.org/officeDocument/2006/relationships/hyperlink" Target="https://publications.jrc.ec.europa.eu/repository/handle/JRC119036" TargetMode="External"/><Relationship Id="rId12" Type="http://schemas.openxmlformats.org/officeDocument/2006/relationships/hyperlink" Target="https://ev-database.org/cheatsheet/energy-consumption-electric-car" TargetMode="External"/><Relationship Id="rId2" Type="http://schemas.openxmlformats.org/officeDocument/2006/relationships/hyperlink" Target="https://data.jrc.ec.europa.eu/dataset/jrc-com-ef-comw-ef-2017" TargetMode="External"/><Relationship Id="rId1" Type="http://schemas.openxmlformats.org/officeDocument/2006/relationships/hyperlink" Target="https://ghgprotocol.org/ghg-emissions-calculation-tool" TargetMode="External"/><Relationship Id="rId6" Type="http://schemas.openxmlformats.org/officeDocument/2006/relationships/hyperlink" Target="https://publications.jrc.ec.europa.eu/repository/handle/JRC119036" TargetMode="External"/><Relationship Id="rId11" Type="http://schemas.openxmlformats.org/officeDocument/2006/relationships/hyperlink" Target="http://195.70.10.65/pdf/assessment-report/ar4/wg1/ar4-wg1-chapter2.pdf" TargetMode="External"/><Relationship Id="rId5" Type="http://schemas.openxmlformats.org/officeDocument/2006/relationships/hyperlink" Target="https://elering.ee/segajaak" TargetMode="External"/><Relationship Id="rId10" Type="http://schemas.openxmlformats.org/officeDocument/2006/relationships/hyperlink" Target="https://www.gov.uk/government/collections/government-conversion-factors-for-company-reporting" TargetMode="External"/><Relationship Id="rId4" Type="http://schemas.openxmlformats.org/officeDocument/2006/relationships/hyperlink" Target="https://epha.ee/wp-content/uploads/2021/12/Aruanne-16.12.2021_veeb.pdf" TargetMode="External"/><Relationship Id="rId9" Type="http://schemas.openxmlformats.org/officeDocument/2006/relationships/hyperlink" Target="http://lipasto.vtt.fi/en/index.htm" TargetMode="External"/></Relationships>
</file>

<file path=xl/worksheets/_rels/sheet29.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ecfr.gov/cgi-bin/text-idx?SID=ae265d7d6f98ec86fcd8640b9793a3f6&amp;mc=true&amp;node=pt40.23.98&amp;rgn=div5" TargetMode="External"/><Relationship Id="rId2" Type="http://schemas.openxmlformats.org/officeDocument/2006/relationships/hyperlink" Target="https://www.ecfr.gov/cgi-bin/text-idx?SID=ae265d7d6f98ec86fcd8640b9793a3f6&amp;mc=true&amp;node=pt40.23.98&amp;rgn=div5" TargetMode="External"/><Relationship Id="rId1" Type="http://schemas.openxmlformats.org/officeDocument/2006/relationships/hyperlink" Target="https://www.ecfr.gov/cgi-bin/text-idx?SID=ae265d7d6f98ec86fcd8640b9793a3f6&amp;mc=true&amp;node=pt40.23.98&amp;rgn=div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79998168889431442"/>
  </sheetPr>
  <dimension ref="A1:H70"/>
  <sheetViews>
    <sheetView showGridLines="0" zoomScale="90" zoomScaleNormal="90" zoomScaleSheetLayoutView="90" workbookViewId="0">
      <pane xSplit="1" ySplit="1" topLeftCell="B2" activePane="bottomRight" state="frozen"/>
      <selection pane="topRight" activeCell="B1" sqref="B1"/>
      <selection pane="bottomLeft" activeCell="A2" sqref="A2"/>
      <selection pane="bottomRight" activeCell="G18" sqref="G18"/>
    </sheetView>
  </sheetViews>
  <sheetFormatPr defaultColWidth="9.453125" defaultRowHeight="15"/>
  <cols>
    <col min="1" max="1" width="7.1796875" style="302" customWidth="1"/>
    <col min="2" max="2" width="149.1796875" style="297" bestFit="1" customWidth="1"/>
    <col min="3" max="6" width="9.453125" style="297"/>
    <col min="7" max="7" width="10.54296875" style="297" customWidth="1"/>
    <col min="8" max="16384" width="9.453125" style="297"/>
  </cols>
  <sheetData>
    <row r="1" spans="1:8" s="294" customFormat="1" ht="19.5" thickBot="1">
      <c r="A1" s="293"/>
      <c r="B1" s="290" t="s">
        <v>0</v>
      </c>
    </row>
    <row r="2" spans="1:8" ht="14.5" thickTop="1">
      <c r="A2" s="295" t="s">
        <v>1</v>
      </c>
      <c r="B2" s="296"/>
    </row>
    <row r="3" spans="1:8" s="299" customFormat="1" ht="14">
      <c r="A3" s="297"/>
      <c r="B3" s="298" t="s">
        <v>2</v>
      </c>
    </row>
    <row r="4" spans="1:8" s="299" customFormat="1" ht="14">
      <c r="A4" s="297"/>
      <c r="B4" s="300"/>
    </row>
    <row r="5" spans="1:8" s="299" customFormat="1" ht="84">
      <c r="A5" s="297"/>
      <c r="B5" s="860" t="s">
        <v>2210</v>
      </c>
    </row>
    <row r="6" spans="1:8" s="299" customFormat="1" ht="56">
      <c r="A6" s="297"/>
      <c r="B6" s="301" t="s">
        <v>1995</v>
      </c>
    </row>
    <row r="7" spans="1:8" s="299" customFormat="1">
      <c r="A7" s="302"/>
      <c r="B7" s="303"/>
    </row>
    <row r="8" spans="1:8">
      <c r="B8" s="298" t="s">
        <v>3</v>
      </c>
    </row>
    <row r="9" spans="1:8">
      <c r="B9" s="304"/>
    </row>
    <row r="10" spans="1:8" ht="84">
      <c r="B10" s="305" t="s">
        <v>1881</v>
      </c>
      <c r="D10" s="306"/>
    </row>
    <row r="11" spans="1:8">
      <c r="B11" s="307"/>
    </row>
    <row r="12" spans="1:8">
      <c r="B12" s="308" t="s">
        <v>4</v>
      </c>
    </row>
    <row r="13" spans="1:8" ht="15.5">
      <c r="B13" s="309"/>
      <c r="E13"/>
      <c r="F13"/>
      <c r="G13"/>
      <c r="H13"/>
    </row>
    <row r="14" spans="1:8" ht="15.5">
      <c r="B14" s="300" t="s">
        <v>2208</v>
      </c>
      <c r="E14"/>
      <c r="F14"/>
      <c r="G14"/>
      <c r="H14"/>
    </row>
    <row r="15" spans="1:8" ht="16">
      <c r="B15" s="310" t="s">
        <v>1996</v>
      </c>
      <c r="E15"/>
      <c r="F15"/>
      <c r="G15"/>
      <c r="H15"/>
    </row>
    <row r="16" spans="1:8" ht="16">
      <c r="B16" s="310" t="s">
        <v>1997</v>
      </c>
      <c r="E16"/>
      <c r="F16"/>
      <c r="G16"/>
      <c r="H16"/>
    </row>
    <row r="17" spans="1:8" ht="16">
      <c r="B17" s="310" t="s">
        <v>1998</v>
      </c>
      <c r="E17"/>
      <c r="F17"/>
      <c r="G17"/>
      <c r="H17"/>
    </row>
    <row r="18" spans="1:8" ht="15.5">
      <c r="B18" s="310" t="s">
        <v>1641</v>
      </c>
      <c r="E18"/>
      <c r="F18"/>
      <c r="G18"/>
      <c r="H18"/>
    </row>
    <row r="19" spans="1:8">
      <c r="B19" s="310" t="s">
        <v>1642</v>
      </c>
    </row>
    <row r="20" spans="1:8" ht="16">
      <c r="B20" s="310" t="s">
        <v>1999</v>
      </c>
    </row>
    <row r="21" spans="1:8" ht="16">
      <c r="B21" s="311" t="s">
        <v>2000</v>
      </c>
    </row>
    <row r="22" spans="1:8">
      <c r="B22" s="310"/>
    </row>
    <row r="23" spans="1:8" ht="42">
      <c r="B23" s="312" t="s">
        <v>2199</v>
      </c>
    </row>
    <row r="24" spans="1:8">
      <c r="B24" s="310"/>
    </row>
    <row r="25" spans="1:8">
      <c r="B25" s="858" t="s">
        <v>1730</v>
      </c>
    </row>
    <row r="26" spans="1:8">
      <c r="B26" s="311" t="s">
        <v>1731</v>
      </c>
    </row>
    <row r="27" spans="1:8" ht="14">
      <c r="A27" s="297"/>
      <c r="B27" s="310"/>
    </row>
    <row r="28" spans="1:8">
      <c r="B28" s="859" t="s">
        <v>2001</v>
      </c>
    </row>
    <row r="29" spans="1:8">
      <c r="B29" s="313" t="s">
        <v>1732</v>
      </c>
    </row>
    <row r="30" spans="1:8">
      <c r="B30" s="313" t="s">
        <v>2002</v>
      </c>
    </row>
    <row r="31" spans="1:8">
      <c r="B31" s="313" t="s">
        <v>5</v>
      </c>
    </row>
    <row r="32" spans="1:8">
      <c r="B32" s="313" t="s">
        <v>2209</v>
      </c>
    </row>
    <row r="33" spans="2:2">
      <c r="B33" s="310"/>
    </row>
    <row r="34" spans="2:2">
      <c r="B34" s="314" t="s">
        <v>2003</v>
      </c>
    </row>
    <row r="35" spans="2:2">
      <c r="B35" s="314" t="s">
        <v>1809</v>
      </c>
    </row>
    <row r="36" spans="2:2">
      <c r="B36" s="314" t="s">
        <v>1810</v>
      </c>
    </row>
    <row r="37" spans="2:2">
      <c r="B37" s="310"/>
    </row>
    <row r="38" spans="2:2">
      <c r="B38" s="315" t="s">
        <v>2004</v>
      </c>
    </row>
    <row r="39" spans="2:2">
      <c r="B39" s="315" t="s">
        <v>1808</v>
      </c>
    </row>
    <row r="40" spans="2:2">
      <c r="B40" s="315" t="s">
        <v>6</v>
      </c>
    </row>
    <row r="41" spans="2:2">
      <c r="B41" s="315" t="s">
        <v>1679</v>
      </c>
    </row>
    <row r="42" spans="2:2">
      <c r="B42" s="315" t="s">
        <v>1680</v>
      </c>
    </row>
    <row r="43" spans="2:2">
      <c r="B43" s="315" t="s">
        <v>7</v>
      </c>
    </row>
    <row r="44" spans="2:2">
      <c r="B44" s="315" t="s">
        <v>2315</v>
      </c>
    </row>
    <row r="45" spans="2:2" ht="42">
      <c r="B45" s="316" t="s">
        <v>2206</v>
      </c>
    </row>
    <row r="46" spans="2:2">
      <c r="B46" s="310"/>
    </row>
    <row r="47" spans="2:2" ht="225" customHeight="1">
      <c r="B47" s="317" t="s">
        <v>2276</v>
      </c>
    </row>
    <row r="48" spans="2:2">
      <c r="B48" s="310"/>
    </row>
    <row r="49" spans="1:2" ht="56">
      <c r="B49" s="318" t="s">
        <v>2207</v>
      </c>
    </row>
    <row r="50" spans="1:2">
      <c r="B50" s="307"/>
    </row>
    <row r="51" spans="1:2" ht="14">
      <c r="A51" s="297"/>
      <c r="B51" s="307"/>
    </row>
    <row r="52" spans="1:2" ht="14">
      <c r="A52" s="297"/>
      <c r="B52" s="307"/>
    </row>
    <row r="53" spans="1:2" ht="14">
      <c r="A53" s="297"/>
    </row>
    <row r="70" spans="1:1" ht="14">
      <c r="A70" s="297"/>
    </row>
  </sheetData>
  <hyperlinks>
    <hyperlink ref="A2" location="Sisukord!A1" display="Sisukord"/>
    <hyperlink ref="B5" r:id="rId1" display="Käesolev mudel pakub universaalse raamistiku organisatsioonidele kasvuhoonegaaside (KHG) jalajälje arvutamiseks. Mudel toetub enamkasutatavatele rahvusvahelistele (eelkõige Greenhouse Gas Protocol, https://ghgprotocol.org) KHG jalajälje arvutamise metoodilistele juhistele ja standarditele. Samas võtab mudel arvesse eestikeskseid eeldusi ja tingimusi (sh eriheitetegureid), mis loovad ühtlustatud metoodilise aluse ja andmestiku Eesti organisatsioonidele KHG jalajälje arvutamiseks. Peale arvutusmudeli on koostatud KHG jalajälje hindamise juhendmaterjal, mis annab detailsemad suunised ja näpunäiteid KHG jalajälje hindamiseks ja tulemuste esitamiseks/aruandluseks organisatsioonides. Nii käesoleva KHG jalajälje arvutusmudeli kui ka vastava juhendi on koostanud Stockholmi Keskkonnainstituudi Tallinna Keskus Keskkonnaministeeriumi tellimusel. "/>
  </hyperlinks>
  <pageMargins left="0.7" right="0.7" top="0.75" bottom="0.75" header="0.3" footer="0.3"/>
  <pageSetup scale="48" fitToWidth="0" fitToHeight="0" orientation="portrait" r:id="rId2"/>
  <headerFooter>
    <oddHeader>&amp;C&amp;100&amp;K00+000
&amp;K00-024TESTVERSIOON</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G73"/>
  <sheetViews>
    <sheetView showGridLines="0" zoomScale="90" zoomScaleNormal="90" workbookViewId="0">
      <pane xSplit="1" ySplit="1" topLeftCell="B43" activePane="bottomRight" state="frozen"/>
      <selection activeCell="B5" sqref="B5"/>
      <selection pane="topRight" activeCell="B5" sqref="B5"/>
      <selection pane="bottomLeft" activeCell="B5" sqref="B5"/>
      <selection pane="bottomRight" activeCell="A5" sqref="A5:XFD6"/>
    </sheetView>
  </sheetViews>
  <sheetFormatPr defaultColWidth="8.54296875" defaultRowHeight="15" customHeight="1"/>
  <cols>
    <col min="1" max="1" width="7.1796875" style="302" customWidth="1"/>
    <col min="2" max="2" width="9.7265625" style="297" customWidth="1"/>
    <col min="3" max="3" width="9.54296875" style="297" customWidth="1"/>
    <col min="4" max="4" width="42.54296875" style="297" bestFit="1" customWidth="1"/>
    <col min="5" max="5" width="22.453125" style="365" customWidth="1"/>
    <col min="6" max="6" width="16.7265625" style="365" customWidth="1"/>
    <col min="7" max="8" width="15.54296875" style="365" customWidth="1"/>
    <col min="9" max="9" width="50.54296875" style="297" customWidth="1"/>
    <col min="10" max="11" width="14" style="297" customWidth="1"/>
    <col min="12" max="12" width="8.54296875" style="297" customWidth="1"/>
    <col min="13" max="13" width="9.7265625" style="297" customWidth="1"/>
    <col min="14" max="14" width="9.81640625" style="297" customWidth="1"/>
    <col min="15" max="15" width="42.54296875" style="297" bestFit="1" customWidth="1"/>
    <col min="16" max="16" width="22.1796875" style="297" customWidth="1"/>
    <col min="17" max="17" width="16.7265625" style="297" customWidth="1"/>
    <col min="18" max="19" width="15.81640625" style="297" customWidth="1"/>
    <col min="20" max="20" width="50.81640625" style="297" customWidth="1"/>
    <col min="21" max="22" width="14" style="297" customWidth="1"/>
    <col min="23" max="23" width="8.54296875" style="297"/>
    <col min="24" max="24" width="9.7265625" style="297" customWidth="1"/>
    <col min="25" max="25" width="9.81640625" style="297" customWidth="1"/>
    <col min="26" max="26" width="42.54296875" style="297" bestFit="1" customWidth="1"/>
    <col min="27" max="27" width="22.1796875" style="297" customWidth="1"/>
    <col min="28" max="28" width="16.7265625" style="297" customWidth="1"/>
    <col min="29" max="30" width="15.81640625" style="297" customWidth="1"/>
    <col min="31" max="31" width="50.81640625" style="297" customWidth="1"/>
    <col min="32" max="33" width="14" style="297" customWidth="1"/>
    <col min="34" max="16384" width="8.54296875" style="297"/>
  </cols>
  <sheetData>
    <row r="1" spans="1:14" s="319" customFormat="1" ht="21" customHeight="1">
      <c r="A1" s="293"/>
      <c r="B1" s="291" t="s">
        <v>110</v>
      </c>
      <c r="E1" s="583"/>
      <c r="F1" s="583"/>
      <c r="G1" s="583"/>
      <c r="H1" s="583"/>
    </row>
    <row r="2" spans="1:14" ht="15" customHeight="1">
      <c r="A2" s="295" t="s">
        <v>1</v>
      </c>
      <c r="B2" s="516" t="s">
        <v>2238</v>
      </c>
      <c r="C2" s="517"/>
      <c r="D2" s="517"/>
      <c r="E2" s="600"/>
      <c r="F2" s="600"/>
      <c r="G2" s="600"/>
      <c r="H2" s="600"/>
      <c r="I2" s="517"/>
      <c r="J2" s="517"/>
      <c r="K2" s="518"/>
    </row>
    <row r="3" spans="1:14" s="501" customFormat="1" ht="15" customHeight="1">
      <c r="A3" s="297"/>
      <c r="B3" s="952" t="s">
        <v>2320</v>
      </c>
      <c r="C3" s="953"/>
      <c r="D3" s="953"/>
      <c r="E3" s="953"/>
      <c r="F3" s="953"/>
      <c r="G3" s="953"/>
      <c r="H3" s="953"/>
      <c r="I3" s="953"/>
      <c r="J3" s="953"/>
      <c r="K3" s="954"/>
      <c r="L3" s="297"/>
      <c r="M3" s="297"/>
    </row>
    <row r="4" spans="1:14" s="501" customFormat="1" ht="14.25" customHeight="1">
      <c r="A4" s="297"/>
      <c r="B4" s="519" t="s">
        <v>2322</v>
      </c>
      <c r="C4" s="297"/>
      <c r="D4" s="297"/>
      <c r="E4" s="297"/>
      <c r="F4" s="365"/>
      <c r="G4" s="297"/>
      <c r="H4" s="365"/>
      <c r="I4" s="297"/>
      <c r="J4" s="297"/>
      <c r="K4" s="520"/>
      <c r="L4" s="297"/>
      <c r="M4" s="297"/>
    </row>
    <row r="5" spans="1:14" s="501" customFormat="1" ht="14.25" customHeight="1">
      <c r="A5" s="297"/>
      <c r="B5" s="519" t="s">
        <v>2321</v>
      </c>
      <c r="C5" s="297"/>
      <c r="D5" s="297"/>
      <c r="E5" s="297"/>
      <c r="F5" s="365"/>
      <c r="G5" s="297"/>
      <c r="H5" s="365"/>
      <c r="I5" s="297"/>
      <c r="J5" s="297"/>
      <c r="K5" s="520"/>
      <c r="L5" s="297"/>
      <c r="M5" s="297"/>
    </row>
    <row r="6" spans="1:14" s="501" customFormat="1" ht="14.25" customHeight="1">
      <c r="A6" s="297"/>
      <c r="B6" s="519" t="s">
        <v>2334</v>
      </c>
      <c r="C6" s="297"/>
      <c r="D6" s="297"/>
      <c r="E6" s="297"/>
      <c r="F6" s="365"/>
      <c r="G6" s="297"/>
      <c r="H6" s="365"/>
      <c r="I6" s="297"/>
      <c r="J6" s="297"/>
      <c r="K6" s="520"/>
      <c r="L6" s="297"/>
      <c r="M6" s="297"/>
    </row>
    <row r="7" spans="1:14" s="501" customFormat="1" ht="15" customHeight="1">
      <c r="A7" s="297"/>
      <c r="B7" s="519"/>
      <c r="C7" s="297"/>
      <c r="D7" s="297"/>
      <c r="E7" s="365"/>
      <c r="F7" s="365"/>
      <c r="G7" s="365"/>
      <c r="H7" s="365"/>
      <c r="I7" s="297"/>
      <c r="J7" s="307"/>
      <c r="K7" s="601"/>
      <c r="L7" s="307"/>
      <c r="M7" s="307"/>
      <c r="N7" s="307"/>
    </row>
    <row r="8" spans="1:14" s="501" customFormat="1" ht="15" customHeight="1">
      <c r="A8" s="297"/>
      <c r="B8" s="554" t="s">
        <v>66</v>
      </c>
      <c r="C8" s="296"/>
      <c r="E8" s="602"/>
      <c r="F8" s="602"/>
      <c r="G8" s="602"/>
      <c r="H8" s="602"/>
      <c r="J8" s="297"/>
      <c r="K8" s="520"/>
      <c r="L8" s="297"/>
    </row>
    <row r="9" spans="1:14" s="501" customFormat="1" ht="15" customHeight="1">
      <c r="A9" s="297"/>
      <c r="B9" s="519" t="s">
        <v>1782</v>
      </c>
      <c r="C9" s="297"/>
      <c r="E9" s="602"/>
      <c r="F9" s="602"/>
      <c r="G9" s="602"/>
      <c r="H9" s="602"/>
      <c r="J9" s="297"/>
      <c r="K9" s="520"/>
      <c r="L9" s="297"/>
    </row>
    <row r="10" spans="1:14" s="501" customFormat="1" ht="15" customHeight="1">
      <c r="A10" s="297"/>
      <c r="B10" s="519" t="s">
        <v>1774</v>
      </c>
      <c r="C10" s="297"/>
      <c r="E10" s="602"/>
      <c r="F10" s="602"/>
      <c r="G10" s="602"/>
      <c r="H10" s="602"/>
      <c r="J10" s="297"/>
      <c r="K10" s="520"/>
      <c r="L10" s="297"/>
    </row>
    <row r="11" spans="1:14" s="501" customFormat="1" ht="15" customHeight="1">
      <c r="A11" s="297"/>
      <c r="B11" s="519" t="s">
        <v>1775</v>
      </c>
      <c r="C11" s="297"/>
      <c r="E11" s="602"/>
      <c r="F11" s="602"/>
      <c r="G11" s="602"/>
      <c r="H11" s="602"/>
      <c r="J11" s="297"/>
      <c r="K11" s="520"/>
      <c r="L11" s="297"/>
    </row>
    <row r="12" spans="1:14" s="501" customFormat="1" ht="15" customHeight="1">
      <c r="A12" s="297"/>
      <c r="B12" s="519" t="s">
        <v>1670</v>
      </c>
      <c r="C12" s="297"/>
      <c r="E12" s="602"/>
      <c r="F12" s="602"/>
      <c r="G12" s="602"/>
      <c r="H12" s="602"/>
      <c r="J12" s="297"/>
      <c r="K12" s="520"/>
      <c r="L12" s="297"/>
    </row>
    <row r="13" spans="1:14" s="501" customFormat="1" ht="15" customHeight="1">
      <c r="A13" s="297"/>
      <c r="B13" s="519" t="s">
        <v>1776</v>
      </c>
      <c r="C13" s="297"/>
      <c r="E13" s="602"/>
      <c r="F13" s="602"/>
      <c r="G13" s="602"/>
      <c r="H13" s="602"/>
      <c r="J13" s="297"/>
      <c r="K13" s="520"/>
      <c r="L13" s="297"/>
    </row>
    <row r="14" spans="1:14" s="501" customFormat="1" ht="15" customHeight="1">
      <c r="A14" s="302"/>
      <c r="B14" s="519" t="s">
        <v>2100</v>
      </c>
      <c r="C14" s="297"/>
      <c r="E14" s="602"/>
      <c r="F14" s="602"/>
      <c r="G14" s="602"/>
      <c r="H14" s="602"/>
      <c r="K14" s="603"/>
    </row>
    <row r="15" spans="1:14" s="501" customFormat="1" ht="15" customHeight="1">
      <c r="A15" s="302"/>
      <c r="B15" s="519" t="s">
        <v>1777</v>
      </c>
      <c r="C15" s="297"/>
      <c r="E15" s="602"/>
      <c r="F15" s="602"/>
      <c r="G15" s="602"/>
      <c r="H15" s="602"/>
      <c r="K15" s="603"/>
    </row>
    <row r="16" spans="1:14" s="501" customFormat="1" ht="15" customHeight="1">
      <c r="A16" s="302"/>
      <c r="B16" s="519" t="s">
        <v>1778</v>
      </c>
      <c r="C16" s="297"/>
      <c r="E16" s="602"/>
      <c r="F16" s="602"/>
      <c r="G16" s="602"/>
      <c r="H16" s="602"/>
      <c r="K16" s="603"/>
    </row>
    <row r="17" spans="1:33" s="501" customFormat="1" ht="15" customHeight="1">
      <c r="A17" s="302"/>
      <c r="B17" s="519" t="s">
        <v>2101</v>
      </c>
      <c r="C17" s="297"/>
      <c r="E17" s="602"/>
      <c r="F17" s="602"/>
      <c r="G17" s="602"/>
      <c r="H17" s="602"/>
      <c r="K17" s="603"/>
    </row>
    <row r="18" spans="1:33" s="501" customFormat="1" ht="15" customHeight="1">
      <c r="A18" s="302"/>
      <c r="B18" s="519" t="s">
        <v>1779</v>
      </c>
      <c r="C18" s="297"/>
      <c r="E18" s="602"/>
      <c r="F18" s="602"/>
      <c r="G18" s="602"/>
      <c r="H18" s="602"/>
      <c r="K18" s="603"/>
    </row>
    <row r="19" spans="1:33" s="501" customFormat="1" ht="15" customHeight="1">
      <c r="A19" s="302"/>
      <c r="B19" s="519" t="s">
        <v>1780</v>
      </c>
      <c r="C19" s="297"/>
      <c r="E19" s="602"/>
      <c r="F19" s="602"/>
      <c r="G19" s="602"/>
      <c r="H19" s="602"/>
      <c r="K19" s="603"/>
    </row>
    <row r="20" spans="1:33" s="501" customFormat="1" ht="15" customHeight="1">
      <c r="A20" s="302"/>
      <c r="B20" s="604"/>
      <c r="E20" s="602"/>
      <c r="F20" s="602"/>
      <c r="G20" s="602"/>
      <c r="H20" s="602"/>
      <c r="K20" s="603"/>
    </row>
    <row r="21" spans="1:33" s="501" customFormat="1" ht="15" customHeight="1">
      <c r="A21" s="302"/>
      <c r="B21" s="519" t="s">
        <v>1767</v>
      </c>
      <c r="C21" s="297"/>
      <c r="E21" s="602"/>
      <c r="F21" s="602"/>
      <c r="G21" s="602"/>
      <c r="H21" s="602"/>
      <c r="K21" s="603"/>
    </row>
    <row r="22" spans="1:33" s="501" customFormat="1" ht="15" customHeight="1">
      <c r="A22" s="302"/>
      <c r="B22" s="519" t="s">
        <v>2102</v>
      </c>
      <c r="C22" s="297"/>
      <c r="E22" s="602"/>
      <c r="F22" s="602"/>
      <c r="G22" s="602"/>
      <c r="H22" s="602"/>
      <c r="K22" s="603"/>
    </row>
    <row r="23" spans="1:33" s="501" customFormat="1" ht="15" customHeight="1">
      <c r="A23" s="302"/>
      <c r="B23" s="519" t="s">
        <v>1768</v>
      </c>
      <c r="C23" s="297"/>
      <c r="E23" s="602"/>
      <c r="F23" s="602"/>
      <c r="G23" s="602"/>
      <c r="H23" s="602"/>
      <c r="K23" s="603"/>
    </row>
    <row r="24" spans="1:33" s="501" customFormat="1" ht="15" customHeight="1">
      <c r="A24" s="302"/>
      <c r="B24" s="519"/>
      <c r="C24" s="297"/>
      <c r="E24" s="602"/>
      <c r="F24" s="602"/>
      <c r="G24" s="602"/>
      <c r="H24" s="602"/>
      <c r="K24" s="603"/>
    </row>
    <row r="25" spans="1:33" s="501" customFormat="1" ht="15" customHeight="1">
      <c r="A25" s="302"/>
      <c r="B25" s="519" t="s">
        <v>2103</v>
      </c>
      <c r="C25" s="297"/>
      <c r="E25" s="602"/>
      <c r="F25" s="602"/>
      <c r="G25" s="602"/>
      <c r="H25" s="602"/>
      <c r="K25" s="603"/>
    </row>
    <row r="26" spans="1:33" s="501" customFormat="1" ht="15" customHeight="1">
      <c r="A26" s="302"/>
      <c r="B26" s="519" t="s">
        <v>1781</v>
      </c>
      <c r="C26" s="297"/>
      <c r="E26" s="602"/>
      <c r="F26" s="602"/>
      <c r="G26" s="602"/>
      <c r="H26" s="602"/>
      <c r="K26" s="603"/>
    </row>
    <row r="27" spans="1:33" s="501" customFormat="1" ht="15" customHeight="1">
      <c r="A27" s="302"/>
      <c r="B27" s="519"/>
      <c r="C27" s="297"/>
      <c r="E27" s="602"/>
      <c r="F27" s="602"/>
      <c r="G27" s="602"/>
      <c r="H27" s="602"/>
      <c r="K27" s="603"/>
    </row>
    <row r="28" spans="1:33" s="501" customFormat="1" ht="15" customHeight="1">
      <c r="A28" s="302"/>
      <c r="B28" s="523" t="s">
        <v>1746</v>
      </c>
      <c r="C28" s="584"/>
      <c r="D28" s="564"/>
      <c r="E28" s="605"/>
      <c r="F28" s="605"/>
      <c r="G28" s="605"/>
      <c r="H28" s="605"/>
      <c r="I28" s="564"/>
      <c r="J28" s="564"/>
      <c r="K28" s="606"/>
    </row>
    <row r="29" spans="1:33" s="501" customFormat="1" ht="15" customHeight="1" thickBot="1">
      <c r="A29" s="302"/>
      <c r="B29" s="297"/>
      <c r="C29" s="297"/>
      <c r="E29" s="602"/>
      <c r="F29" s="602"/>
      <c r="G29" s="602"/>
      <c r="H29" s="602"/>
    </row>
    <row r="30" spans="1:33" s="501" customFormat="1" ht="15" customHeight="1" thickTop="1" thickBot="1">
      <c r="A30" s="302"/>
      <c r="B30" s="502" t="s">
        <v>55</v>
      </c>
      <c r="C30" s="526">
        <f>Organisatsioon!B23</f>
        <v>2021</v>
      </c>
      <c r="E30" s="602"/>
      <c r="F30" s="602"/>
      <c r="G30" s="602"/>
      <c r="H30" s="602"/>
      <c r="M30" s="502" t="s">
        <v>55</v>
      </c>
      <c r="N30" s="526">
        <f>Organisatsioon!B24</f>
        <v>2022</v>
      </c>
      <c r="P30" s="602"/>
      <c r="Q30" s="602"/>
      <c r="R30" s="602"/>
      <c r="S30" s="602"/>
      <c r="X30" s="502" t="s">
        <v>55</v>
      </c>
      <c r="Y30" s="526">
        <f>Organisatsioon!B25</f>
        <v>2023</v>
      </c>
      <c r="AA30" s="602"/>
      <c r="AB30" s="602"/>
      <c r="AC30" s="602"/>
      <c r="AD30" s="602"/>
    </row>
    <row r="31" spans="1:33" s="501" customFormat="1" ht="15" customHeight="1" thickTop="1">
      <c r="A31" s="302"/>
      <c r="D31" s="297"/>
      <c r="E31" s="365"/>
      <c r="F31" s="365"/>
      <c r="G31" s="365"/>
      <c r="H31" s="365"/>
      <c r="I31" s="297"/>
      <c r="J31" s="297"/>
      <c r="K31" s="297"/>
      <c r="L31" s="297"/>
      <c r="O31" s="297"/>
      <c r="P31" s="365"/>
      <c r="Q31" s="365"/>
      <c r="R31" s="365"/>
      <c r="S31" s="365"/>
      <c r="T31" s="297"/>
      <c r="U31" s="297"/>
      <c r="V31" s="297"/>
      <c r="Z31" s="297"/>
      <c r="AA31" s="365"/>
      <c r="AB31" s="365"/>
      <c r="AC31" s="365"/>
      <c r="AD31" s="365"/>
      <c r="AE31" s="297"/>
      <c r="AF31" s="297"/>
      <c r="AG31" s="297"/>
    </row>
    <row r="32" spans="1:33" s="501" customFormat="1" ht="15" customHeight="1">
      <c r="A32" s="302"/>
      <c r="B32" s="308" t="s">
        <v>1623</v>
      </c>
      <c r="C32" s="543"/>
      <c r="D32" s="640"/>
      <c r="E32" s="786"/>
      <c r="F32" s="786"/>
      <c r="G32" s="786"/>
      <c r="H32" s="786"/>
      <c r="I32" s="640"/>
      <c r="J32" s="640"/>
      <c r="K32" s="785"/>
      <c r="L32" s="297"/>
      <c r="M32" s="308" t="s">
        <v>1623</v>
      </c>
      <c r="N32" s="543"/>
      <c r="O32" s="640"/>
      <c r="P32" s="786"/>
      <c r="Q32" s="786"/>
      <c r="R32" s="786"/>
      <c r="S32" s="786"/>
      <c r="T32" s="640"/>
      <c r="U32" s="640"/>
      <c r="V32" s="785"/>
      <c r="X32" s="308" t="s">
        <v>1623</v>
      </c>
      <c r="Y32" s="543"/>
      <c r="Z32" s="640"/>
      <c r="AA32" s="786"/>
      <c r="AB32" s="786"/>
      <c r="AC32" s="786"/>
      <c r="AD32" s="786"/>
      <c r="AE32" s="640"/>
      <c r="AF32" s="640"/>
      <c r="AG32" s="785"/>
    </row>
    <row r="33" spans="1:33" s="395" customFormat="1" ht="15" customHeight="1">
      <c r="B33" s="646" t="s">
        <v>1872</v>
      </c>
      <c r="C33" s="787"/>
      <c r="D33" s="567"/>
      <c r="E33" s="608"/>
      <c r="F33" s="568"/>
      <c r="G33" s="568"/>
      <c r="H33" s="568"/>
      <c r="I33" s="586"/>
      <c r="J33" s="569"/>
      <c r="K33" s="570"/>
      <c r="L33" s="297"/>
      <c r="M33" s="646" t="s">
        <v>1872</v>
      </c>
      <c r="N33" s="787"/>
      <c r="O33" s="567"/>
      <c r="P33" s="608"/>
      <c r="Q33" s="568"/>
      <c r="R33" s="568"/>
      <c r="S33" s="568"/>
      <c r="T33" s="586"/>
      <c r="U33" s="569"/>
      <c r="V33" s="570"/>
      <c r="X33" s="646" t="s">
        <v>1872</v>
      </c>
      <c r="Y33" s="787"/>
      <c r="Z33" s="567"/>
      <c r="AA33" s="608"/>
      <c r="AB33" s="568"/>
      <c r="AC33" s="568"/>
      <c r="AD33" s="568"/>
      <c r="AE33" s="586"/>
      <c r="AF33" s="569"/>
      <c r="AG33" s="570"/>
    </row>
    <row r="34" spans="1:33" ht="15" customHeight="1">
      <c r="B34" s="925" t="s">
        <v>57</v>
      </c>
      <c r="C34" s="908" t="s">
        <v>1430</v>
      </c>
      <c r="D34" s="909"/>
      <c r="E34" s="925" t="s">
        <v>111</v>
      </c>
      <c r="F34" s="914" t="s">
        <v>68</v>
      </c>
      <c r="G34" s="914" t="s">
        <v>69</v>
      </c>
      <c r="H34" s="909" t="s">
        <v>70</v>
      </c>
      <c r="I34" s="914" t="s">
        <v>71</v>
      </c>
      <c r="J34" s="916" t="s">
        <v>86</v>
      </c>
      <c r="K34" s="917"/>
      <c r="M34" s="925" t="s">
        <v>57</v>
      </c>
      <c r="N34" s="908" t="s">
        <v>1430</v>
      </c>
      <c r="O34" s="909"/>
      <c r="P34" s="925" t="s">
        <v>111</v>
      </c>
      <c r="Q34" s="914" t="s">
        <v>68</v>
      </c>
      <c r="R34" s="914" t="s">
        <v>69</v>
      </c>
      <c r="S34" s="909" t="s">
        <v>70</v>
      </c>
      <c r="T34" s="914" t="s">
        <v>71</v>
      </c>
      <c r="U34" s="916" t="s">
        <v>86</v>
      </c>
      <c r="V34" s="917"/>
      <c r="X34" s="925" t="s">
        <v>57</v>
      </c>
      <c r="Y34" s="908" t="s">
        <v>1430</v>
      </c>
      <c r="Z34" s="909"/>
      <c r="AA34" s="925" t="s">
        <v>111</v>
      </c>
      <c r="AB34" s="914" t="s">
        <v>68</v>
      </c>
      <c r="AC34" s="914" t="s">
        <v>69</v>
      </c>
      <c r="AD34" s="909" t="s">
        <v>70</v>
      </c>
      <c r="AE34" s="914" t="s">
        <v>71</v>
      </c>
      <c r="AF34" s="916" t="s">
        <v>86</v>
      </c>
      <c r="AG34" s="917"/>
    </row>
    <row r="35" spans="1:33" ht="15" customHeight="1">
      <c r="B35" s="926"/>
      <c r="C35" s="928"/>
      <c r="D35" s="929"/>
      <c r="E35" s="926"/>
      <c r="F35" s="915"/>
      <c r="G35" s="915"/>
      <c r="H35" s="929"/>
      <c r="I35" s="915"/>
      <c r="J35" s="918"/>
      <c r="K35" s="919"/>
      <c r="M35" s="926"/>
      <c r="N35" s="928"/>
      <c r="O35" s="929"/>
      <c r="P35" s="926"/>
      <c r="Q35" s="915"/>
      <c r="R35" s="915"/>
      <c r="S35" s="929"/>
      <c r="T35" s="915"/>
      <c r="U35" s="918"/>
      <c r="V35" s="919"/>
      <c r="X35" s="926"/>
      <c r="Y35" s="928"/>
      <c r="Z35" s="929"/>
      <c r="AA35" s="926"/>
      <c r="AB35" s="915"/>
      <c r="AC35" s="915"/>
      <c r="AD35" s="929"/>
      <c r="AE35" s="915"/>
      <c r="AF35" s="918"/>
      <c r="AG35" s="919"/>
    </row>
    <row r="36" spans="1:33" ht="15" customHeight="1">
      <c r="B36" s="926"/>
      <c r="C36" s="928"/>
      <c r="D36" s="929"/>
      <c r="E36" s="926"/>
      <c r="F36" s="922"/>
      <c r="G36" s="922"/>
      <c r="H36" s="911"/>
      <c r="I36" s="915"/>
      <c r="J36" s="920"/>
      <c r="K36" s="921"/>
      <c r="M36" s="926"/>
      <c r="N36" s="928"/>
      <c r="O36" s="929"/>
      <c r="P36" s="926"/>
      <c r="Q36" s="922"/>
      <c r="R36" s="922"/>
      <c r="S36" s="911"/>
      <c r="T36" s="915"/>
      <c r="U36" s="920"/>
      <c r="V36" s="921"/>
      <c r="X36" s="926"/>
      <c r="Y36" s="928"/>
      <c r="Z36" s="929"/>
      <c r="AA36" s="926"/>
      <c r="AB36" s="922"/>
      <c r="AC36" s="922"/>
      <c r="AD36" s="911"/>
      <c r="AE36" s="915"/>
      <c r="AF36" s="920"/>
      <c r="AG36" s="921"/>
    </row>
    <row r="37" spans="1:33" ht="15" customHeight="1">
      <c r="B37" s="927"/>
      <c r="C37" s="910"/>
      <c r="D37" s="911"/>
      <c r="E37" s="927"/>
      <c r="F37" s="571" t="s">
        <v>73</v>
      </c>
      <c r="G37" s="910" t="s">
        <v>2098</v>
      </c>
      <c r="H37" s="948"/>
      <c r="I37" s="922"/>
      <c r="J37" s="782" t="s">
        <v>2085</v>
      </c>
      <c r="K37" s="782" t="s">
        <v>2086</v>
      </c>
      <c r="M37" s="927"/>
      <c r="N37" s="910"/>
      <c r="O37" s="911"/>
      <c r="P37" s="927"/>
      <c r="Q37" s="571" t="s">
        <v>73</v>
      </c>
      <c r="R37" s="910" t="s">
        <v>2098</v>
      </c>
      <c r="S37" s="948"/>
      <c r="T37" s="922"/>
      <c r="U37" s="782" t="s">
        <v>2085</v>
      </c>
      <c r="V37" s="782" t="s">
        <v>2086</v>
      </c>
      <c r="X37" s="927"/>
      <c r="Y37" s="910"/>
      <c r="Z37" s="911"/>
      <c r="AA37" s="927"/>
      <c r="AB37" s="571" t="s">
        <v>73</v>
      </c>
      <c r="AC37" s="910" t="s">
        <v>2098</v>
      </c>
      <c r="AD37" s="948"/>
      <c r="AE37" s="922"/>
      <c r="AF37" s="782" t="s">
        <v>2085</v>
      </c>
      <c r="AG37" s="782" t="s">
        <v>2086</v>
      </c>
    </row>
    <row r="38" spans="1:33" ht="15" customHeight="1">
      <c r="B38" s="587">
        <v>1</v>
      </c>
      <c r="C38" s="923" t="s">
        <v>1468</v>
      </c>
      <c r="D38" s="924"/>
      <c r="E38" s="588">
        <v>1000</v>
      </c>
      <c r="F38" s="788" t="s">
        <v>75</v>
      </c>
      <c r="G38" s="589">
        <f>IF(F38="Jah",LOOKUP(C38,'HT-Tööreisid (M3)'!$B$5:$B$40,'HT-Tööreisid (M3)'!$C$5:$C$40),IF(F38="Ei","x "))</f>
        <v>0.15060969005304506</v>
      </c>
      <c r="H38" s="789"/>
      <c r="I38" s="783" t="str">
        <f>IF(F38="Jah", LOOKUP(C38,'HT-Tööreisid (M3)'!$B$5:$B$40,'HT-Tööreisid (M3)'!$E$5:$E$40),IF(F38= "Ei", " "))</f>
        <v>KHG inventuuri aruanne 2022</v>
      </c>
      <c r="J38" s="597">
        <f>IF(F38="Jah",E38*(G38), IF(F38="Ei",E38*H38))</f>
        <v>150.60969005304506</v>
      </c>
      <c r="K38" s="597">
        <f>J38*0.001</f>
        <v>0.15060969005304506</v>
      </c>
      <c r="M38" s="587">
        <v>1</v>
      </c>
      <c r="N38" s="923" t="s">
        <v>1724</v>
      </c>
      <c r="O38" s="924"/>
      <c r="P38" s="588">
        <v>5000</v>
      </c>
      <c r="Q38" s="788" t="s">
        <v>75</v>
      </c>
      <c r="R38" s="589">
        <f>IF(Q38="Jah",LOOKUP(N38,'HT-Tööreisid (M3)'!$B$5:$B$40,'HT-Tööreisid (M3)'!$C$5:$C$40),IF(Q38="Ei","x "))</f>
        <v>0.17285566668204541</v>
      </c>
      <c r="S38" s="789"/>
      <c r="T38" s="783" t="str">
        <f>IF(Q38="Jah", LOOKUP(N38,'HT-Tööreisid (M3)'!$B$5:$B$40,'HT-Tööreisid (M3)'!$E$5:$E$40),IF(Q38= "Ei", " "))</f>
        <v>Diiselmootoriga sõiduautode keskmine eriheitetegur</v>
      </c>
      <c r="U38" s="597">
        <f t="shared" ref="U38:U47" si="0">IF(Q38="Jah",P38*(R38), IF(Q38="Ei",P38*S38))</f>
        <v>864.27833341022711</v>
      </c>
      <c r="V38" s="597">
        <f t="shared" ref="V38:V47" si="1">U38*0.001</f>
        <v>0.86427833341022708</v>
      </c>
      <c r="X38" s="587"/>
      <c r="Y38" s="923"/>
      <c r="Z38" s="924"/>
      <c r="AA38" s="588"/>
      <c r="AB38" s="788" t="s">
        <v>75</v>
      </c>
      <c r="AC38" s="589" t="e">
        <f>IF(AB38="Jah",LOOKUP(Y38,'HT-Tööreisid (M3)'!$B$5:$B$40,'HT-Tööreisid (M3)'!$C$5:$C$40),IF(AB38="Ei","x "))</f>
        <v>#N/A</v>
      </c>
      <c r="AD38" s="789"/>
      <c r="AE38" s="783" t="e">
        <f>IF(AB38="Jah", LOOKUP(Y38,'HT-Tööreisid (M3)'!$B$5:$B$40,'HT-Tööreisid (M3)'!$E$5:$E$40),IF(AB38= "Ei", " "))</f>
        <v>#N/A</v>
      </c>
      <c r="AF38" s="597" t="e">
        <f t="shared" ref="AF38:AF47" si="2">IF(AB38="Jah",AA38*(AC38), IF(AB38="Ei",AA38*AD38))</f>
        <v>#N/A</v>
      </c>
      <c r="AG38" s="597" t="e">
        <f t="shared" ref="AG38:AG47" si="3">AF38*0.001</f>
        <v>#N/A</v>
      </c>
    </row>
    <row r="39" spans="1:33" ht="15" customHeight="1">
      <c r="B39" s="587">
        <v>1</v>
      </c>
      <c r="C39" s="923" t="s">
        <v>1720</v>
      </c>
      <c r="D39" s="924"/>
      <c r="E39" s="588">
        <v>1000</v>
      </c>
      <c r="F39" s="788" t="s">
        <v>75</v>
      </c>
      <c r="G39" s="589">
        <f>IF(F39="Jah",LOOKUP(C39,'HT-Tööreisid (M3)'!$B$5:$B$40,'HT-Tööreisid (M3)'!$C$5:$C$40),IF(F39="Ei","x "))</f>
        <v>0.1924289555597079</v>
      </c>
      <c r="H39" s="348"/>
      <c r="I39" s="845" t="str">
        <f>IF(F39="Jah", LOOKUP(C39,'HT-Tööreisid (M3)'!$B$5:$B$40,'HT-Tööreisid (M3)'!$E$5:$E$40),IF(F39= "Ei", " "))</f>
        <v>Bensiinimootoriga sõiduautode keskmine eriheitetegur</v>
      </c>
      <c r="J39" s="597">
        <f>IF(F39="Jah",E39*(G39), IF(F39="Ei",E39*H39))</f>
        <v>192.4289555597079</v>
      </c>
      <c r="K39" s="597">
        <f t="shared" ref="K39:K47" si="4">J39*0.001</f>
        <v>0.1924289555597079</v>
      </c>
      <c r="M39" s="587">
        <v>2</v>
      </c>
      <c r="N39" s="923" t="s">
        <v>2242</v>
      </c>
      <c r="O39" s="924"/>
      <c r="P39" s="588">
        <v>200</v>
      </c>
      <c r="Q39" s="788" t="s">
        <v>75</v>
      </c>
      <c r="R39" s="589">
        <f>IF(Q39="Jah",LOOKUP(N39,'HT-Tööreisid (M3)'!$B$5:$B$40,'HT-Tööreisid (M3)'!$C$5:$C$40),IF(Q39="Ei","x "))</f>
        <v>0.16147075001153405</v>
      </c>
      <c r="S39" s="348"/>
      <c r="T39" s="845" t="str">
        <f>IF(Q39="Jah", LOOKUP(N39,'HT-Tööreisid (M3)'!$B$5:$B$40,'HT-Tööreisid (M3)'!$E$5:$E$40),IF(Q39= "Ei", " "))</f>
        <v>KHG inventuuri aruanne 2022, arvestatud 75% fossiilne kütus, 25% tavaelekter, Electric Vehicle Database (keskmine elektritarbimine: 0,2 kWh/km)</v>
      </c>
      <c r="U39" s="597">
        <f t="shared" si="0"/>
        <v>32.294150002306807</v>
      </c>
      <c r="V39" s="597">
        <f t="shared" si="1"/>
        <v>3.2294150002306808E-2</v>
      </c>
      <c r="X39" s="587"/>
      <c r="Y39" s="923"/>
      <c r="Z39" s="924"/>
      <c r="AA39" s="588"/>
      <c r="AB39" s="788" t="s">
        <v>75</v>
      </c>
      <c r="AC39" s="589" t="e">
        <f>IF(AB39="Jah",LOOKUP(Y39,'HT-Tööreisid (M3)'!$B$5:$B$40,'HT-Tööreisid (M3)'!$C$5:$C$40),IF(AB39="Ei","x "))</f>
        <v>#N/A</v>
      </c>
      <c r="AD39" s="348"/>
      <c r="AE39" s="845" t="e">
        <f>IF(AB39="Jah", LOOKUP(Y39,'HT-Tööreisid (M3)'!$B$5:$B$40,'HT-Tööreisid (M3)'!$E$5:$E$40),IF(AB39= "Ei", " "))</f>
        <v>#N/A</v>
      </c>
      <c r="AF39" s="597" t="e">
        <f t="shared" si="2"/>
        <v>#N/A</v>
      </c>
      <c r="AG39" s="597" t="e">
        <f t="shared" si="3"/>
        <v>#N/A</v>
      </c>
    </row>
    <row r="40" spans="1:33" ht="15" customHeight="1">
      <c r="B40" s="587">
        <v>2</v>
      </c>
      <c r="C40" s="923" t="s">
        <v>2240</v>
      </c>
      <c r="D40" s="924"/>
      <c r="E40" s="588">
        <v>120</v>
      </c>
      <c r="F40" s="788" t="s">
        <v>75</v>
      </c>
      <c r="G40" s="589">
        <f>IF(F40="Jah",LOOKUP(C40,'HT-Tööreisid (M3)'!$B$5:$B$40,'HT-Tööreisid (M3)'!$C$5:$C$40),IF(F40="Ei","x "))</f>
        <v>0.12964175001153405</v>
      </c>
      <c r="H40" s="348"/>
      <c r="I40" s="845" t="str">
        <f>IF(F40="Jah", LOOKUP(C40,'HT-Tööreisid (M3)'!$B$5:$B$40,'HT-Tööreisid (M3)'!$E$5:$E$40),IF(F40= "Ei", " "))</f>
        <v>KHG inventuuri aruanne 2022, arvestatud 75% fossiilne kütus, 25% taastuvelekter</v>
      </c>
      <c r="J40" s="597">
        <f>IF(F40="Jah",E40*(G40), IF(F40="Ei",E40*H40))</f>
        <v>15.557010001384086</v>
      </c>
      <c r="K40" s="597">
        <f t="shared" si="4"/>
        <v>1.5557010001384087E-2</v>
      </c>
      <c r="M40" s="587"/>
      <c r="N40" s="923"/>
      <c r="O40" s="924"/>
      <c r="P40" s="588"/>
      <c r="Q40" s="788" t="s">
        <v>75</v>
      </c>
      <c r="R40" s="589" t="e">
        <f>IF(Q40="Jah",LOOKUP(N40,'HT-Tööreisid (M3)'!$B$5:$B$40,'HT-Tööreisid (M3)'!$C$5:$C$40),IF(Q40="Ei","x "))</f>
        <v>#N/A</v>
      </c>
      <c r="S40" s="348"/>
      <c r="T40" s="845" t="e">
        <f>IF(Q40="Jah", LOOKUP(N40,'HT-Tööreisid (M3)'!$B$5:$B$40,'HT-Tööreisid (M3)'!$E$5:$E$40),IF(Q40= "Ei", " "))</f>
        <v>#N/A</v>
      </c>
      <c r="U40" s="597" t="e">
        <f t="shared" si="0"/>
        <v>#N/A</v>
      </c>
      <c r="V40" s="597" t="e">
        <f t="shared" si="1"/>
        <v>#N/A</v>
      </c>
      <c r="X40" s="587"/>
      <c r="Y40" s="923"/>
      <c r="Z40" s="924"/>
      <c r="AA40" s="588"/>
      <c r="AB40" s="788" t="s">
        <v>75</v>
      </c>
      <c r="AC40" s="589" t="e">
        <f>IF(AB40="Jah",LOOKUP(Y40,'HT-Tööreisid (M3)'!$B$5:$B$40,'HT-Tööreisid (M3)'!$C$5:$C$40),IF(AB40="Ei","x "))</f>
        <v>#N/A</v>
      </c>
      <c r="AD40" s="348"/>
      <c r="AE40" s="845" t="e">
        <f>IF(AB40="Jah", LOOKUP(Y40,'HT-Tööreisid (M3)'!$B$5:$B$40,'HT-Tööreisid (M3)'!$E$5:$E$40),IF(AB40= "Ei", " "))</f>
        <v>#N/A</v>
      </c>
      <c r="AF40" s="597" t="e">
        <f t="shared" si="2"/>
        <v>#N/A</v>
      </c>
      <c r="AG40" s="597" t="e">
        <f t="shared" si="3"/>
        <v>#N/A</v>
      </c>
    </row>
    <row r="41" spans="1:33" ht="15" customHeight="1">
      <c r="B41" s="790"/>
      <c r="C41" s="923"/>
      <c r="D41" s="924"/>
      <c r="E41" s="588"/>
      <c r="F41" s="788" t="s">
        <v>75</v>
      </c>
      <c r="G41" s="589" t="e">
        <f>IF(F41="Jah",LOOKUP(C41,'HT-Tööreisid (M3)'!$B$5:$B$40,'HT-Tööreisid (M3)'!$C$5:$C$40),IF(F41="Ei","x "))</f>
        <v>#N/A</v>
      </c>
      <c r="H41" s="348"/>
      <c r="I41" s="845" t="e">
        <f>IF(F41="Jah", LOOKUP(C41,'HT-Tööreisid (M3)'!$B$5:$B$40,'HT-Tööreisid (M3)'!$E$5:$E$40),IF(F41= "Ei", " "))</f>
        <v>#N/A</v>
      </c>
      <c r="J41" s="597" t="e">
        <f>IF(F41="Jah",E41*(G41), IF(F41="Ei",E41*H41))</f>
        <v>#N/A</v>
      </c>
      <c r="K41" s="597" t="e">
        <f t="shared" si="4"/>
        <v>#N/A</v>
      </c>
      <c r="M41" s="790"/>
      <c r="N41" s="923"/>
      <c r="O41" s="924"/>
      <c r="P41" s="588"/>
      <c r="Q41" s="788" t="s">
        <v>75</v>
      </c>
      <c r="R41" s="589" t="e">
        <f>IF(Q41="Jah",LOOKUP(N41,'HT-Tööreisid (M3)'!$B$5:$B$40,'HT-Tööreisid (M3)'!$C$5:$C$40),IF(Q41="Ei","x "))</f>
        <v>#N/A</v>
      </c>
      <c r="S41" s="348"/>
      <c r="T41" s="845" t="e">
        <f>IF(Q41="Jah", LOOKUP(N41,'HT-Tööreisid (M3)'!$B$5:$B$40,'HT-Tööreisid (M3)'!$E$5:$E$40),IF(Q41= "Ei", " "))</f>
        <v>#N/A</v>
      </c>
      <c r="U41" s="597" t="e">
        <f t="shared" si="0"/>
        <v>#N/A</v>
      </c>
      <c r="V41" s="597" t="e">
        <f t="shared" si="1"/>
        <v>#N/A</v>
      </c>
      <c r="X41" s="790"/>
      <c r="Y41" s="923"/>
      <c r="Z41" s="924"/>
      <c r="AA41" s="588"/>
      <c r="AB41" s="788" t="s">
        <v>75</v>
      </c>
      <c r="AC41" s="589" t="e">
        <f>IF(AB41="Jah",LOOKUP(Y41,'HT-Tööreisid (M3)'!$B$5:$B$40,'HT-Tööreisid (M3)'!$C$5:$C$40),IF(AB41="Ei","x "))</f>
        <v>#N/A</v>
      </c>
      <c r="AD41" s="348"/>
      <c r="AE41" s="845" t="e">
        <f>IF(AB41="Jah", LOOKUP(Y41,'HT-Tööreisid (M3)'!$B$5:$B$40,'HT-Tööreisid (M3)'!$E$5:$E$40),IF(AB41= "Ei", " "))</f>
        <v>#N/A</v>
      </c>
      <c r="AF41" s="597" t="e">
        <f t="shared" si="2"/>
        <v>#N/A</v>
      </c>
      <c r="AG41" s="597" t="e">
        <f t="shared" si="3"/>
        <v>#N/A</v>
      </c>
    </row>
    <row r="42" spans="1:33" ht="15" customHeight="1">
      <c r="B42" s="790"/>
      <c r="C42" s="923"/>
      <c r="D42" s="924"/>
      <c r="E42" s="588"/>
      <c r="F42" s="788" t="s">
        <v>75</v>
      </c>
      <c r="G42" s="589" t="e">
        <f>IF(F42="Jah",LOOKUP(C42,'HT-Tööreisid (M3)'!$B$5:$B$40,'HT-Tööreisid (M3)'!$C$5:$C$40),IF(F42="Ei","x "))</f>
        <v>#N/A</v>
      </c>
      <c r="H42" s="348"/>
      <c r="I42" s="845" t="e">
        <f>IF(F42="Jah", LOOKUP(C42,'HT-Tööreisid (M3)'!$B$5:$B$40,'HT-Tööreisid (M3)'!$E$5:$E$40),IF(F42= "Ei", " "))</f>
        <v>#N/A</v>
      </c>
      <c r="J42" s="597" t="e">
        <f t="shared" ref="J42:J47" si="5">IF(F42="Jah",E42*(G42), IF(F42="Ei",E42*H42))</f>
        <v>#N/A</v>
      </c>
      <c r="K42" s="597" t="e">
        <f t="shared" si="4"/>
        <v>#N/A</v>
      </c>
      <c r="M42" s="790"/>
      <c r="N42" s="923"/>
      <c r="O42" s="924"/>
      <c r="P42" s="588"/>
      <c r="Q42" s="788" t="s">
        <v>75</v>
      </c>
      <c r="R42" s="589" t="e">
        <f>IF(Q42="Jah",LOOKUP(N42,'HT-Tööreisid (M3)'!$B$5:$B$40,'HT-Tööreisid (M3)'!$C$5:$C$40),IF(Q42="Ei","x "))</f>
        <v>#N/A</v>
      </c>
      <c r="S42" s="348"/>
      <c r="T42" s="845" t="e">
        <f>IF(Q42="Jah", LOOKUP(N42,'HT-Tööreisid (M3)'!$B$5:$B$40,'HT-Tööreisid (M3)'!$E$5:$E$40),IF(Q42= "Ei", " "))</f>
        <v>#N/A</v>
      </c>
      <c r="U42" s="597" t="e">
        <f t="shared" si="0"/>
        <v>#N/A</v>
      </c>
      <c r="V42" s="597" t="e">
        <f t="shared" si="1"/>
        <v>#N/A</v>
      </c>
      <c r="X42" s="790"/>
      <c r="Y42" s="923"/>
      <c r="Z42" s="924"/>
      <c r="AA42" s="588"/>
      <c r="AB42" s="788" t="s">
        <v>75</v>
      </c>
      <c r="AC42" s="589" t="e">
        <f>IF(AB42="Jah",LOOKUP(Y42,'HT-Tööreisid (M3)'!$B$5:$B$40,'HT-Tööreisid (M3)'!$C$5:$C$40),IF(AB42="Ei","x "))</f>
        <v>#N/A</v>
      </c>
      <c r="AD42" s="348"/>
      <c r="AE42" s="845" t="e">
        <f>IF(AB42="Jah", LOOKUP(Y42,'HT-Tööreisid (M3)'!$B$5:$B$40,'HT-Tööreisid (M3)'!$E$5:$E$40),IF(AB42= "Ei", " "))</f>
        <v>#N/A</v>
      </c>
      <c r="AF42" s="597" t="e">
        <f t="shared" si="2"/>
        <v>#N/A</v>
      </c>
      <c r="AG42" s="597" t="e">
        <f t="shared" si="3"/>
        <v>#N/A</v>
      </c>
    </row>
    <row r="43" spans="1:33" ht="14">
      <c r="A43" s="297"/>
      <c r="B43" s="790"/>
      <c r="C43" s="923"/>
      <c r="D43" s="924"/>
      <c r="E43" s="588"/>
      <c r="F43" s="788" t="s">
        <v>75</v>
      </c>
      <c r="G43" s="589" t="e">
        <f>IF(F43="Jah",LOOKUP(C43,'HT-Tööreisid (M3)'!$B$5:$B$40,'HT-Tööreisid (M3)'!$C$5:$C$40),IF(F43="Ei","x "))</f>
        <v>#N/A</v>
      </c>
      <c r="H43" s="348"/>
      <c r="I43" s="845" t="e">
        <f>IF(F43="Jah", LOOKUP(C43,'HT-Tööreisid (M3)'!$B$5:$B$40,'HT-Tööreisid (M3)'!$E$5:$E$40),IF(F43= "Ei", " "))</f>
        <v>#N/A</v>
      </c>
      <c r="J43" s="597" t="e">
        <f t="shared" si="5"/>
        <v>#N/A</v>
      </c>
      <c r="K43" s="597" t="e">
        <f t="shared" si="4"/>
        <v>#N/A</v>
      </c>
      <c r="M43" s="790"/>
      <c r="N43" s="923"/>
      <c r="O43" s="924"/>
      <c r="P43" s="588"/>
      <c r="Q43" s="788" t="s">
        <v>75</v>
      </c>
      <c r="R43" s="589" t="e">
        <f>IF(Q43="Jah",LOOKUP(N43,'HT-Tööreisid (M3)'!$B$5:$B$40,'HT-Tööreisid (M3)'!$C$5:$C$40),IF(Q43="Ei","x "))</f>
        <v>#N/A</v>
      </c>
      <c r="S43" s="348"/>
      <c r="T43" s="845" t="e">
        <f>IF(Q43="Jah", LOOKUP(N43,'HT-Tööreisid (M3)'!$B$5:$B$40,'HT-Tööreisid (M3)'!$E$5:$E$40),IF(Q43= "Ei", " "))</f>
        <v>#N/A</v>
      </c>
      <c r="U43" s="597" t="e">
        <f t="shared" si="0"/>
        <v>#N/A</v>
      </c>
      <c r="V43" s="597" t="e">
        <f t="shared" si="1"/>
        <v>#N/A</v>
      </c>
      <c r="X43" s="790"/>
      <c r="Y43" s="923"/>
      <c r="Z43" s="924"/>
      <c r="AA43" s="588"/>
      <c r="AB43" s="788" t="s">
        <v>75</v>
      </c>
      <c r="AC43" s="589" t="e">
        <f>IF(AB43="Jah",LOOKUP(Y43,'HT-Tööreisid (M3)'!$B$5:$B$40,'HT-Tööreisid (M3)'!$C$5:$C$40),IF(AB43="Ei","x "))</f>
        <v>#N/A</v>
      </c>
      <c r="AD43" s="348"/>
      <c r="AE43" s="845" t="e">
        <f>IF(AB43="Jah", LOOKUP(Y43,'HT-Tööreisid (M3)'!$B$5:$B$40,'HT-Tööreisid (M3)'!$E$5:$E$40),IF(AB43= "Ei", " "))</f>
        <v>#N/A</v>
      </c>
      <c r="AF43" s="597" t="e">
        <f t="shared" si="2"/>
        <v>#N/A</v>
      </c>
      <c r="AG43" s="597" t="e">
        <f t="shared" si="3"/>
        <v>#N/A</v>
      </c>
    </row>
    <row r="44" spans="1:33" ht="14">
      <c r="A44" s="297"/>
      <c r="B44" s="790"/>
      <c r="C44" s="923"/>
      <c r="D44" s="924"/>
      <c r="E44" s="588"/>
      <c r="F44" s="788" t="s">
        <v>75</v>
      </c>
      <c r="G44" s="589" t="e">
        <f>IF(F44="Jah",LOOKUP(C44,'HT-Tööreisid (M3)'!$B$5:$B$40,'HT-Tööreisid (M3)'!$C$5:$C$40),IF(F44="Ei","x "))</f>
        <v>#N/A</v>
      </c>
      <c r="H44" s="348"/>
      <c r="I44" s="845" t="e">
        <f>IF(F44="Jah", LOOKUP(C44,'HT-Tööreisid (M3)'!$B$5:$B$40,'HT-Tööreisid (M3)'!$E$5:$E$40),IF(F44= "Ei", " "))</f>
        <v>#N/A</v>
      </c>
      <c r="J44" s="597" t="e">
        <f t="shared" si="5"/>
        <v>#N/A</v>
      </c>
      <c r="K44" s="597" t="e">
        <f t="shared" si="4"/>
        <v>#N/A</v>
      </c>
      <c r="M44" s="790"/>
      <c r="N44" s="923"/>
      <c r="O44" s="924"/>
      <c r="P44" s="588"/>
      <c r="Q44" s="788" t="s">
        <v>75</v>
      </c>
      <c r="R44" s="589" t="e">
        <f>IF(Q44="Jah",LOOKUP(N44,'HT-Tööreisid (M3)'!$B$5:$B$40,'HT-Tööreisid (M3)'!$C$5:$C$40),IF(Q44="Ei","x "))</f>
        <v>#N/A</v>
      </c>
      <c r="S44" s="348"/>
      <c r="T44" s="845" t="e">
        <f>IF(Q44="Jah", LOOKUP(N44,'HT-Tööreisid (M3)'!$B$5:$B$40,'HT-Tööreisid (M3)'!$E$5:$E$40),IF(Q44= "Ei", " "))</f>
        <v>#N/A</v>
      </c>
      <c r="U44" s="597" t="e">
        <f t="shared" si="0"/>
        <v>#N/A</v>
      </c>
      <c r="V44" s="597" t="e">
        <f t="shared" si="1"/>
        <v>#N/A</v>
      </c>
      <c r="X44" s="790"/>
      <c r="Y44" s="923"/>
      <c r="Z44" s="924"/>
      <c r="AA44" s="588"/>
      <c r="AB44" s="788" t="s">
        <v>75</v>
      </c>
      <c r="AC44" s="589" t="e">
        <f>IF(AB44="Jah",LOOKUP(Y44,'HT-Tööreisid (M3)'!$B$5:$B$40,'HT-Tööreisid (M3)'!$C$5:$C$40),IF(AB44="Ei","x "))</f>
        <v>#N/A</v>
      </c>
      <c r="AD44" s="348"/>
      <c r="AE44" s="845" t="e">
        <f>IF(AB44="Jah", LOOKUP(Y44,'HT-Tööreisid (M3)'!$B$5:$B$40,'HT-Tööreisid (M3)'!$E$5:$E$40),IF(AB44= "Ei", " "))</f>
        <v>#N/A</v>
      </c>
      <c r="AF44" s="597" t="e">
        <f t="shared" si="2"/>
        <v>#N/A</v>
      </c>
      <c r="AG44" s="597" t="e">
        <f t="shared" si="3"/>
        <v>#N/A</v>
      </c>
    </row>
    <row r="45" spans="1:33" ht="14">
      <c r="A45" s="297"/>
      <c r="B45" s="790"/>
      <c r="C45" s="923"/>
      <c r="D45" s="924"/>
      <c r="E45" s="588"/>
      <c r="F45" s="788" t="s">
        <v>75</v>
      </c>
      <c r="G45" s="589" t="e">
        <f>IF(F45="Jah",LOOKUP(C45,'HT-Tööreisid (M3)'!$B$5:$B$40,'HT-Tööreisid (M3)'!$C$5:$C$40),IF(F45="Ei","x "))</f>
        <v>#N/A</v>
      </c>
      <c r="H45" s="348"/>
      <c r="I45" s="845" t="e">
        <f>IF(F45="Jah", LOOKUP(C45,'HT-Tööreisid (M3)'!$B$5:$B$40,'HT-Tööreisid (M3)'!$E$5:$E$40),IF(F45= "Ei", " "))</f>
        <v>#N/A</v>
      </c>
      <c r="J45" s="597" t="e">
        <f t="shared" si="5"/>
        <v>#N/A</v>
      </c>
      <c r="K45" s="597" t="e">
        <f t="shared" si="4"/>
        <v>#N/A</v>
      </c>
      <c r="M45" s="790"/>
      <c r="N45" s="923"/>
      <c r="O45" s="924"/>
      <c r="P45" s="588"/>
      <c r="Q45" s="788" t="s">
        <v>75</v>
      </c>
      <c r="R45" s="589" t="e">
        <f>IF(Q45="Jah",LOOKUP(N45,'HT-Tööreisid (M3)'!$B$5:$B$40,'HT-Tööreisid (M3)'!$C$5:$C$40),IF(Q45="Ei","x "))</f>
        <v>#N/A</v>
      </c>
      <c r="S45" s="348"/>
      <c r="T45" s="845" t="e">
        <f>IF(Q45="Jah", LOOKUP(N45,'HT-Tööreisid (M3)'!$B$5:$B$40,'HT-Tööreisid (M3)'!$E$5:$E$40),IF(Q45= "Ei", " "))</f>
        <v>#N/A</v>
      </c>
      <c r="U45" s="597" t="e">
        <f t="shared" si="0"/>
        <v>#N/A</v>
      </c>
      <c r="V45" s="597" t="e">
        <f t="shared" si="1"/>
        <v>#N/A</v>
      </c>
      <c r="X45" s="790"/>
      <c r="Y45" s="923"/>
      <c r="Z45" s="924"/>
      <c r="AA45" s="588"/>
      <c r="AB45" s="788" t="s">
        <v>75</v>
      </c>
      <c r="AC45" s="589" t="e">
        <f>IF(AB45="Jah",LOOKUP(Y45,'HT-Tööreisid (M3)'!$B$5:$B$40,'HT-Tööreisid (M3)'!$C$5:$C$40),IF(AB45="Ei","x "))</f>
        <v>#N/A</v>
      </c>
      <c r="AD45" s="348"/>
      <c r="AE45" s="845" t="e">
        <f>IF(AB45="Jah", LOOKUP(Y45,'HT-Tööreisid (M3)'!$B$5:$B$40,'HT-Tööreisid (M3)'!$E$5:$E$40),IF(AB45= "Ei", " "))</f>
        <v>#N/A</v>
      </c>
      <c r="AF45" s="597" t="e">
        <f t="shared" si="2"/>
        <v>#N/A</v>
      </c>
      <c r="AG45" s="597" t="e">
        <f t="shared" si="3"/>
        <v>#N/A</v>
      </c>
    </row>
    <row r="46" spans="1:33" ht="15" customHeight="1">
      <c r="B46" s="790"/>
      <c r="C46" s="923"/>
      <c r="D46" s="924"/>
      <c r="E46" s="588"/>
      <c r="F46" s="788" t="s">
        <v>75</v>
      </c>
      <c r="G46" s="589" t="e">
        <f>IF(F46="Jah",LOOKUP(C46,'HT-Tööreisid (M3)'!$B$5:$B$40,'HT-Tööreisid (M3)'!$C$5:$C$40),IF(F46="Ei","x "))</f>
        <v>#N/A</v>
      </c>
      <c r="H46" s="348"/>
      <c r="I46" s="845" t="e">
        <f>IF(F46="Jah", LOOKUP(C46,'HT-Tööreisid (M3)'!$B$5:$B$40,'HT-Tööreisid (M3)'!$E$5:$E$40),IF(F46= "Ei", " "))</f>
        <v>#N/A</v>
      </c>
      <c r="J46" s="597" t="e">
        <f t="shared" si="5"/>
        <v>#N/A</v>
      </c>
      <c r="K46" s="597" t="e">
        <f t="shared" si="4"/>
        <v>#N/A</v>
      </c>
      <c r="M46" s="790"/>
      <c r="N46" s="923"/>
      <c r="O46" s="924"/>
      <c r="P46" s="588"/>
      <c r="Q46" s="788" t="s">
        <v>75</v>
      </c>
      <c r="R46" s="589" t="e">
        <f>IF(Q46="Jah",LOOKUP(N46,'HT-Tööreisid (M3)'!$B$5:$B$40,'HT-Tööreisid (M3)'!$C$5:$C$40),IF(Q46="Ei","x "))</f>
        <v>#N/A</v>
      </c>
      <c r="S46" s="348"/>
      <c r="T46" s="845" t="e">
        <f>IF(Q46="Jah", LOOKUP(N46,'HT-Tööreisid (M3)'!$B$5:$B$40,'HT-Tööreisid (M3)'!$E$5:$E$40),IF(Q46= "Ei", " "))</f>
        <v>#N/A</v>
      </c>
      <c r="U46" s="597" t="e">
        <f t="shared" si="0"/>
        <v>#N/A</v>
      </c>
      <c r="V46" s="597" t="e">
        <f t="shared" si="1"/>
        <v>#N/A</v>
      </c>
      <c r="X46" s="790"/>
      <c r="Y46" s="923"/>
      <c r="Z46" s="924"/>
      <c r="AA46" s="588"/>
      <c r="AB46" s="788" t="s">
        <v>75</v>
      </c>
      <c r="AC46" s="589" t="e">
        <f>IF(AB46="Jah",LOOKUP(Y46,'HT-Tööreisid (M3)'!$B$5:$B$40,'HT-Tööreisid (M3)'!$C$5:$C$40),IF(AB46="Ei","x "))</f>
        <v>#N/A</v>
      </c>
      <c r="AD46" s="348"/>
      <c r="AE46" s="845" t="e">
        <f>IF(AB46="Jah", LOOKUP(Y46,'HT-Tööreisid (M3)'!$B$5:$B$40,'HT-Tööreisid (M3)'!$E$5:$E$40),IF(AB46= "Ei", " "))</f>
        <v>#N/A</v>
      </c>
      <c r="AF46" s="597" t="e">
        <f t="shared" si="2"/>
        <v>#N/A</v>
      </c>
      <c r="AG46" s="597" t="e">
        <f t="shared" si="3"/>
        <v>#N/A</v>
      </c>
    </row>
    <row r="47" spans="1:33" ht="15" customHeight="1">
      <c r="B47" s="790"/>
      <c r="C47" s="923"/>
      <c r="D47" s="924"/>
      <c r="E47" s="588"/>
      <c r="F47" s="788" t="s">
        <v>75</v>
      </c>
      <c r="G47" s="589" t="e">
        <f>IF(F47="Jah",LOOKUP(C47,'HT-Tööreisid (M3)'!$B$5:$B$40,'HT-Tööreisid (M3)'!$C$5:$C$40),IF(F47="Ei","x "))</f>
        <v>#N/A</v>
      </c>
      <c r="H47" s="348"/>
      <c r="I47" s="845" t="e">
        <f>IF(F47="Jah", LOOKUP(C47,'HT-Tööreisid (M3)'!$B$5:$B$40,'HT-Tööreisid (M3)'!$E$5:$E$40),IF(F47= "Ei", " "))</f>
        <v>#N/A</v>
      </c>
      <c r="J47" s="597" t="e">
        <f t="shared" si="5"/>
        <v>#N/A</v>
      </c>
      <c r="K47" s="597" t="e">
        <f t="shared" si="4"/>
        <v>#N/A</v>
      </c>
      <c r="M47" s="790"/>
      <c r="N47" s="923"/>
      <c r="O47" s="924"/>
      <c r="P47" s="588"/>
      <c r="Q47" s="788" t="s">
        <v>75</v>
      </c>
      <c r="R47" s="589" t="e">
        <f>IF(Q47="Jah",LOOKUP(N47,'HT-Tööreisid (M3)'!$B$5:$B$40,'HT-Tööreisid (M3)'!$C$5:$C$40),IF(Q47="Ei","x "))</f>
        <v>#N/A</v>
      </c>
      <c r="S47" s="348"/>
      <c r="T47" s="845" t="e">
        <f>IF(Q47="Jah", LOOKUP(N47,'HT-Tööreisid (M3)'!$B$5:$B$40,'HT-Tööreisid (M3)'!$E$5:$E$40),IF(Q47= "Ei", " "))</f>
        <v>#N/A</v>
      </c>
      <c r="U47" s="597" t="e">
        <f t="shared" si="0"/>
        <v>#N/A</v>
      </c>
      <c r="V47" s="597" t="e">
        <f t="shared" si="1"/>
        <v>#N/A</v>
      </c>
      <c r="X47" s="790"/>
      <c r="Y47" s="923"/>
      <c r="Z47" s="924"/>
      <c r="AA47" s="588"/>
      <c r="AB47" s="788" t="s">
        <v>75</v>
      </c>
      <c r="AC47" s="589" t="e">
        <f>IF(AB47="Jah",LOOKUP(Y47,'HT-Tööreisid (M3)'!$B$5:$B$40,'HT-Tööreisid (M3)'!$C$5:$C$40),IF(AB47="Ei","x "))</f>
        <v>#N/A</v>
      </c>
      <c r="AD47" s="348"/>
      <c r="AE47" s="845" t="e">
        <f>IF(AB47="Jah", LOOKUP(Y47,'HT-Tööreisid (M3)'!$B$5:$B$40,'HT-Tööreisid (M3)'!$E$5:$E$40),IF(AB47= "Ei", " "))</f>
        <v>#N/A</v>
      </c>
      <c r="AF47" s="597" t="e">
        <f t="shared" si="2"/>
        <v>#N/A</v>
      </c>
      <c r="AG47" s="597" t="e">
        <f t="shared" si="3"/>
        <v>#N/A</v>
      </c>
    </row>
    <row r="48" spans="1:33">
      <c r="B48" s="536"/>
      <c r="C48" s="537"/>
      <c r="D48" s="591"/>
      <c r="E48" s="591"/>
      <c r="F48" s="591"/>
      <c r="G48" s="591"/>
      <c r="H48" s="591"/>
      <c r="I48" s="592" t="s">
        <v>1592</v>
      </c>
      <c r="J48" s="593">
        <f>SUMIF(J38:J47,"&lt;&gt;#N/A")</f>
        <v>358.595655614137</v>
      </c>
      <c r="K48" s="594">
        <f>SUMIF(K38:K47,"&lt;&gt;#N/A")</f>
        <v>0.35859565561413709</v>
      </c>
      <c r="M48" s="536"/>
      <c r="N48" s="537"/>
      <c r="O48" s="591"/>
      <c r="P48" s="591"/>
      <c r="Q48" s="591"/>
      <c r="R48" s="591"/>
      <c r="S48" s="591"/>
      <c r="T48" s="592" t="s">
        <v>1592</v>
      </c>
      <c r="U48" s="593">
        <f>SUMIF(U38:U47,"&lt;&gt;#N/A")</f>
        <v>896.57248341253387</v>
      </c>
      <c r="V48" s="594">
        <f>SUMIF(V38:V47,"&lt;&gt;#N/A")</f>
        <v>0.89657248341253393</v>
      </c>
      <c r="X48" s="536"/>
      <c r="Y48" s="537"/>
      <c r="Z48" s="591"/>
      <c r="AA48" s="591"/>
      <c r="AB48" s="591"/>
      <c r="AC48" s="591"/>
      <c r="AD48" s="591"/>
      <c r="AE48" s="592" t="s">
        <v>1592</v>
      </c>
      <c r="AF48" s="593">
        <f>SUMIF(AF38:AF47,"&lt;&gt;#N/A")</f>
        <v>0</v>
      </c>
      <c r="AG48" s="594">
        <f>SUMIF(AG38:AG47,"&lt;&gt;#N/A")</f>
        <v>0</v>
      </c>
    </row>
    <row r="49" spans="1:33">
      <c r="E49" s="297"/>
      <c r="F49" s="297"/>
      <c r="G49" s="297"/>
      <c r="H49" s="297"/>
    </row>
    <row r="50" spans="1:33">
      <c r="F50" s="297"/>
      <c r="G50" s="297"/>
      <c r="H50" s="297"/>
      <c r="P50" s="365"/>
      <c r="AA50" s="365"/>
    </row>
    <row r="51" spans="1:33">
      <c r="B51" s="308" t="s">
        <v>1669</v>
      </c>
      <c r="C51" s="543"/>
      <c r="D51" s="608"/>
      <c r="E51" s="608"/>
      <c r="F51" s="568"/>
      <c r="G51" s="568"/>
      <c r="H51" s="568"/>
      <c r="I51" s="586"/>
      <c r="J51" s="569"/>
      <c r="K51" s="570"/>
      <c r="M51" s="308" t="s">
        <v>1669</v>
      </c>
      <c r="N51" s="543"/>
      <c r="O51" s="608"/>
      <c r="P51" s="608"/>
      <c r="Q51" s="568"/>
      <c r="R51" s="568"/>
      <c r="S51" s="568"/>
      <c r="T51" s="586"/>
      <c r="U51" s="569"/>
      <c r="V51" s="570"/>
      <c r="X51" s="308" t="s">
        <v>1669</v>
      </c>
      <c r="Y51" s="543"/>
      <c r="Z51" s="608"/>
      <c r="AA51" s="608"/>
      <c r="AB51" s="568"/>
      <c r="AC51" s="568"/>
      <c r="AD51" s="568"/>
      <c r="AE51" s="586"/>
      <c r="AF51" s="569"/>
      <c r="AG51" s="570"/>
    </row>
    <row r="52" spans="1:33" s="395" customFormat="1" ht="15" customHeight="1">
      <c r="B52" s="308" t="s">
        <v>1873</v>
      </c>
      <c r="C52" s="543"/>
      <c r="D52" s="608"/>
      <c r="E52" s="608"/>
      <c r="F52" s="568"/>
      <c r="G52" s="568"/>
      <c r="H52" s="568"/>
      <c r="I52" s="586"/>
      <c r="J52" s="569"/>
      <c r="K52" s="570"/>
      <c r="L52" s="297"/>
      <c r="M52" s="308" t="s">
        <v>1873</v>
      </c>
      <c r="N52" s="543"/>
      <c r="O52" s="608"/>
      <c r="P52" s="608"/>
      <c r="Q52" s="568"/>
      <c r="R52" s="568"/>
      <c r="S52" s="568"/>
      <c r="T52" s="586"/>
      <c r="U52" s="569"/>
      <c r="V52" s="570"/>
      <c r="X52" s="308" t="s">
        <v>1873</v>
      </c>
      <c r="Y52" s="543"/>
      <c r="Z52" s="608"/>
      <c r="AA52" s="608"/>
      <c r="AB52" s="568"/>
      <c r="AC52" s="568"/>
      <c r="AD52" s="568"/>
      <c r="AE52" s="586"/>
      <c r="AF52" s="569"/>
      <c r="AG52" s="570"/>
    </row>
    <row r="53" spans="1:33" ht="15" customHeight="1">
      <c r="B53" s="925" t="s">
        <v>57</v>
      </c>
      <c r="C53" s="908" t="s">
        <v>1430</v>
      </c>
      <c r="D53" s="909"/>
      <c r="E53" s="925" t="s">
        <v>112</v>
      </c>
      <c r="F53" s="914" t="s">
        <v>68</v>
      </c>
      <c r="G53" s="914" t="s">
        <v>69</v>
      </c>
      <c r="H53" s="914" t="s">
        <v>70</v>
      </c>
      <c r="I53" s="914" t="s">
        <v>71</v>
      </c>
      <c r="J53" s="916" t="s">
        <v>86</v>
      </c>
      <c r="K53" s="917"/>
      <c r="M53" s="925" t="s">
        <v>57</v>
      </c>
      <c r="N53" s="908" t="s">
        <v>1430</v>
      </c>
      <c r="O53" s="909"/>
      <c r="P53" s="925" t="s">
        <v>112</v>
      </c>
      <c r="Q53" s="914" t="s">
        <v>68</v>
      </c>
      <c r="R53" s="914" t="s">
        <v>69</v>
      </c>
      <c r="S53" s="914" t="s">
        <v>70</v>
      </c>
      <c r="T53" s="914" t="s">
        <v>71</v>
      </c>
      <c r="U53" s="916" t="s">
        <v>86</v>
      </c>
      <c r="V53" s="917"/>
      <c r="X53" s="925" t="s">
        <v>57</v>
      </c>
      <c r="Y53" s="908" t="s">
        <v>1430</v>
      </c>
      <c r="Z53" s="909"/>
      <c r="AA53" s="925" t="s">
        <v>112</v>
      </c>
      <c r="AB53" s="914" t="s">
        <v>68</v>
      </c>
      <c r="AC53" s="914" t="s">
        <v>69</v>
      </c>
      <c r="AD53" s="914" t="s">
        <v>70</v>
      </c>
      <c r="AE53" s="914" t="s">
        <v>71</v>
      </c>
      <c r="AF53" s="916" t="s">
        <v>86</v>
      </c>
      <c r="AG53" s="917"/>
    </row>
    <row r="54" spans="1:33" ht="15" customHeight="1">
      <c r="B54" s="926"/>
      <c r="C54" s="928"/>
      <c r="D54" s="929"/>
      <c r="E54" s="926"/>
      <c r="F54" s="915"/>
      <c r="G54" s="915"/>
      <c r="H54" s="915"/>
      <c r="I54" s="915"/>
      <c r="J54" s="918"/>
      <c r="K54" s="919"/>
      <c r="M54" s="926"/>
      <c r="N54" s="928"/>
      <c r="O54" s="929"/>
      <c r="P54" s="926"/>
      <c r="Q54" s="915"/>
      <c r="R54" s="915"/>
      <c r="S54" s="915"/>
      <c r="T54" s="915"/>
      <c r="U54" s="918"/>
      <c r="V54" s="919"/>
      <c r="X54" s="926"/>
      <c r="Y54" s="928"/>
      <c r="Z54" s="929"/>
      <c r="AA54" s="926"/>
      <c r="AB54" s="915"/>
      <c r="AC54" s="915"/>
      <c r="AD54" s="915"/>
      <c r="AE54" s="915"/>
      <c r="AF54" s="918"/>
      <c r="AG54" s="919"/>
    </row>
    <row r="55" spans="1:33" ht="15" customHeight="1">
      <c r="B55" s="926"/>
      <c r="C55" s="928"/>
      <c r="D55" s="929"/>
      <c r="E55" s="926"/>
      <c r="F55" s="922"/>
      <c r="G55" s="922"/>
      <c r="H55" s="922"/>
      <c r="I55" s="915"/>
      <c r="J55" s="920"/>
      <c r="K55" s="921"/>
      <c r="M55" s="926"/>
      <c r="N55" s="928"/>
      <c r="O55" s="929"/>
      <c r="P55" s="926"/>
      <c r="Q55" s="922"/>
      <c r="R55" s="922"/>
      <c r="S55" s="922"/>
      <c r="T55" s="915"/>
      <c r="U55" s="920"/>
      <c r="V55" s="921"/>
      <c r="X55" s="926"/>
      <c r="Y55" s="928"/>
      <c r="Z55" s="929"/>
      <c r="AA55" s="926"/>
      <c r="AB55" s="922"/>
      <c r="AC55" s="922"/>
      <c r="AD55" s="922"/>
      <c r="AE55" s="915"/>
      <c r="AF55" s="920"/>
      <c r="AG55" s="921"/>
    </row>
    <row r="56" spans="1:33" ht="15" customHeight="1">
      <c r="B56" s="927"/>
      <c r="C56" s="910"/>
      <c r="D56" s="911"/>
      <c r="E56" s="927"/>
      <c r="F56" s="571" t="s">
        <v>73</v>
      </c>
      <c r="G56" s="947" t="s">
        <v>2099</v>
      </c>
      <c r="H56" s="948"/>
      <c r="I56" s="922"/>
      <c r="J56" s="609" t="s">
        <v>2085</v>
      </c>
      <c r="K56" s="609" t="s">
        <v>2086</v>
      </c>
      <c r="M56" s="927"/>
      <c r="N56" s="910"/>
      <c r="O56" s="911"/>
      <c r="P56" s="927"/>
      <c r="Q56" s="571" t="s">
        <v>73</v>
      </c>
      <c r="R56" s="947" t="s">
        <v>2099</v>
      </c>
      <c r="S56" s="948"/>
      <c r="T56" s="922"/>
      <c r="U56" s="609" t="s">
        <v>2085</v>
      </c>
      <c r="V56" s="609" t="s">
        <v>2086</v>
      </c>
      <c r="X56" s="927"/>
      <c r="Y56" s="910"/>
      <c r="Z56" s="911"/>
      <c r="AA56" s="927"/>
      <c r="AB56" s="571" t="s">
        <v>73</v>
      </c>
      <c r="AC56" s="947" t="s">
        <v>2099</v>
      </c>
      <c r="AD56" s="948"/>
      <c r="AE56" s="922"/>
      <c r="AF56" s="609" t="s">
        <v>2085</v>
      </c>
      <c r="AG56" s="609" t="s">
        <v>2086</v>
      </c>
    </row>
    <row r="57" spans="1:33" ht="15" customHeight="1">
      <c r="B57" s="790">
        <v>1</v>
      </c>
      <c r="C57" s="923" t="s">
        <v>1483</v>
      </c>
      <c r="D57" s="924"/>
      <c r="E57" s="588">
        <v>2000</v>
      </c>
      <c r="F57" s="788" t="s">
        <v>75</v>
      </c>
      <c r="G57" s="610">
        <f>IF(F57="Jah",LOOKUP(C57,'HT-Tööreisid (M3)'!$B$44:$B$64,'HT-Tööreisid (M3)'!$C$44:$C$64),IF(F57="Ei","x "))</f>
        <v>0.15353000000000003</v>
      </c>
      <c r="H57" s="348"/>
      <c r="I57" s="783" t="str">
        <f>IF(F57="Jah", LOOKUP(C57,'HT-Tööreisid (M3)'!$B$44:$B$64,'HT-Tööreisid (M3)'!$E$44:$E$64),IF(F57= "Ei", " "))</f>
        <v>UK GHG Conversion Factors 2021</v>
      </c>
      <c r="J57" s="549">
        <f>IF(F57="Jah",E57*(G57), IF(F57="Ei",E57*H57))</f>
        <v>307.06000000000006</v>
      </c>
      <c r="K57" s="549">
        <f>J57*0.001</f>
        <v>0.30706000000000006</v>
      </c>
      <c r="M57" s="790"/>
      <c r="N57" s="923"/>
      <c r="O57" s="924"/>
      <c r="P57" s="588"/>
      <c r="Q57" s="788" t="s">
        <v>75</v>
      </c>
      <c r="R57" s="610" t="e">
        <f>IF(Q57="Jah",LOOKUP(N57,'HT-Tööreisid (M3)'!$B$44:$B$64,'HT-Tööreisid (M3)'!$C$44:$C$64),IF(Q57="Ei","x "))</f>
        <v>#N/A</v>
      </c>
      <c r="S57" s="348"/>
      <c r="T57" s="783" t="e">
        <f>IF(Q57="Jah", LOOKUP(N57,'HT-Tööreisid (M3)'!$B$44:$B$64,'HT-Tööreisid (M3)'!$E$44:$E$64),IF(Q57= "Ei", " "))</f>
        <v>#N/A</v>
      </c>
      <c r="U57" s="549" t="e">
        <f t="shared" ref="U57:U66" si="6">IF(Q57="Jah",P57*(R57), IF(Q57="Ei",P57*S57))</f>
        <v>#N/A</v>
      </c>
      <c r="V57" s="549" t="e">
        <f t="shared" ref="V57:V66" si="7">U57*0.001</f>
        <v>#N/A</v>
      </c>
      <c r="X57" s="790"/>
      <c r="Y57" s="923"/>
      <c r="Z57" s="924"/>
      <c r="AA57" s="588"/>
      <c r="AB57" s="788" t="s">
        <v>75</v>
      </c>
      <c r="AC57" s="610" t="e">
        <f>IF(AB57="Jah",LOOKUP(Y57,'HT-Tööreisid (M3)'!$B$44:$B$64,'HT-Tööreisid (M3)'!$C$44:$C$64),IF(AB57="Ei","x "))</f>
        <v>#N/A</v>
      </c>
      <c r="AD57" s="348"/>
      <c r="AE57" s="783" t="e">
        <f>IF(AB57="Jah", LOOKUP(Y57,'HT-Tööreisid (M3)'!$B$44:$B$64,'HT-Tööreisid (M3)'!$E$44:$E$64),IF(AB57= "Ei", " "))</f>
        <v>#N/A</v>
      </c>
      <c r="AF57" s="549" t="e">
        <f t="shared" ref="AF57:AF66" si="8">IF(AB57="Jah",AA57*(AC57), IF(AB57="Ei",AA57*AD57))</f>
        <v>#N/A</v>
      </c>
      <c r="AG57" s="549" t="e">
        <f t="shared" ref="AG57:AG66" si="9">AF57*0.001</f>
        <v>#N/A</v>
      </c>
    </row>
    <row r="58" spans="1:33" ht="15" customHeight="1">
      <c r="B58" s="790">
        <v>1</v>
      </c>
      <c r="C58" s="923" t="s">
        <v>1495</v>
      </c>
      <c r="D58" s="924"/>
      <c r="E58" s="588">
        <v>1000</v>
      </c>
      <c r="F58" s="788" t="s">
        <v>75</v>
      </c>
      <c r="G58" s="610">
        <f>IF(F58="Jah",LOOKUP(C58,'HT-Tööreisid (M3)'!$B$44:$B$64,'HT-Tööreisid (M3)'!$C$44:$C$64),IF(F58="Ei","x "))</f>
        <v>1.8737999999999998E-2</v>
      </c>
      <c r="H58" s="348"/>
      <c r="I58" s="783" t="str">
        <f>IF(F58="Jah", LOOKUP(C58,'HT-Tööreisid (M3)'!$B$44:$B$64,'HT-Tööreisid (M3)'!$E$44:$E$64),IF(F58= "Ei", " "))</f>
        <v>UK GHG Conversion Factors 2021</v>
      </c>
      <c r="J58" s="549">
        <f t="shared" ref="J58:J66" si="10">IF(F58="Jah",E58*(G58), IF(F58="Ei",E58*H58))</f>
        <v>18.737999999999996</v>
      </c>
      <c r="K58" s="549">
        <f t="shared" ref="K58:K66" si="11">J58*0.001</f>
        <v>1.8737999999999998E-2</v>
      </c>
      <c r="M58" s="790"/>
      <c r="N58" s="923"/>
      <c r="O58" s="924"/>
      <c r="P58" s="588"/>
      <c r="Q58" s="788" t="s">
        <v>75</v>
      </c>
      <c r="R58" s="610" t="e">
        <f>IF(Q58="Jah",LOOKUP(N58,'HT-Tööreisid (M3)'!$B$44:$B$64,'HT-Tööreisid (M3)'!$C$44:$C$64),IF(Q58="Ei","x "))</f>
        <v>#N/A</v>
      </c>
      <c r="S58" s="348"/>
      <c r="T58" s="783" t="e">
        <f>IF(Q58="Jah", LOOKUP(N58,'HT-Tööreisid (M3)'!$B$44:$B$64,'HT-Tööreisid (M3)'!$E$44:$E$64),IF(Q58= "Ei", " "))</f>
        <v>#N/A</v>
      </c>
      <c r="U58" s="549" t="e">
        <f t="shared" si="6"/>
        <v>#N/A</v>
      </c>
      <c r="V58" s="549" t="e">
        <f t="shared" si="7"/>
        <v>#N/A</v>
      </c>
      <c r="X58" s="790"/>
      <c r="Y58" s="923"/>
      <c r="Z58" s="924"/>
      <c r="AA58" s="588"/>
      <c r="AB58" s="788" t="s">
        <v>75</v>
      </c>
      <c r="AC58" s="610" t="e">
        <f>IF(AB58="Jah",LOOKUP(Y58,'HT-Tööreisid (M3)'!$B$44:$B$64,'HT-Tööreisid (M3)'!$C$44:$C$64),IF(AB58="Ei","x "))</f>
        <v>#N/A</v>
      </c>
      <c r="AD58" s="348"/>
      <c r="AE58" s="783" t="e">
        <f>IF(AB58="Jah", LOOKUP(Y58,'HT-Tööreisid (M3)'!$B$44:$B$64,'HT-Tööreisid (M3)'!$E$44:$E$64),IF(AB58= "Ei", " "))</f>
        <v>#N/A</v>
      </c>
      <c r="AF58" s="549" t="e">
        <f t="shared" si="8"/>
        <v>#N/A</v>
      </c>
      <c r="AG58" s="549" t="e">
        <f t="shared" si="9"/>
        <v>#N/A</v>
      </c>
    </row>
    <row r="59" spans="1:33" ht="15" customHeight="1">
      <c r="B59" s="790">
        <v>1</v>
      </c>
      <c r="C59" s="923" t="s">
        <v>1482</v>
      </c>
      <c r="D59" s="924"/>
      <c r="E59" s="588">
        <v>1000</v>
      </c>
      <c r="F59" s="788" t="s">
        <v>75</v>
      </c>
      <c r="G59" s="610">
        <f>IF(F59="Jah",LOOKUP(C59,'HT-Tööreisid (M3)'!$B$44:$B$64,'HT-Tööreisid (M3)'!$C$44:$C$64),IF(F59="Ei","x "))</f>
        <v>8.2569295647856603E-2</v>
      </c>
      <c r="H59" s="348"/>
      <c r="I59" s="783" t="str">
        <f>IF(F59="Jah", LOOKUP(C59,'HT-Tööreisid (M3)'!$B$44:$B$64,'HT-Tööreisid (M3)'!$E$44:$E$64),IF(F59= "Ei", " "))</f>
        <v>AS Elron, KHG inventuuri aruanne 2022 (rongidiisli eriheitetegur)</v>
      </c>
      <c r="J59" s="549">
        <f t="shared" si="10"/>
        <v>82.569295647856606</v>
      </c>
      <c r="K59" s="549">
        <f t="shared" si="11"/>
        <v>8.2569295647856603E-2</v>
      </c>
      <c r="M59" s="790"/>
      <c r="N59" s="923"/>
      <c r="O59" s="924"/>
      <c r="P59" s="588"/>
      <c r="Q59" s="788" t="s">
        <v>75</v>
      </c>
      <c r="R59" s="610" t="e">
        <f>IF(Q59="Jah",LOOKUP(N59,'HT-Tööreisid (M3)'!$B$44:$B$64,'HT-Tööreisid (M3)'!$C$44:$C$64),IF(Q59="Ei","x "))</f>
        <v>#N/A</v>
      </c>
      <c r="S59" s="348"/>
      <c r="T59" s="783" t="e">
        <f>IF(Q59="Jah", LOOKUP(N59,'HT-Tööreisid (M3)'!$B$44:$B$64,'HT-Tööreisid (M3)'!$E$44:$E$64),IF(Q59= "Ei", " "))</f>
        <v>#N/A</v>
      </c>
      <c r="U59" s="549" t="e">
        <f t="shared" si="6"/>
        <v>#N/A</v>
      </c>
      <c r="V59" s="549" t="e">
        <f t="shared" si="7"/>
        <v>#N/A</v>
      </c>
      <c r="X59" s="790"/>
      <c r="Y59" s="923"/>
      <c r="Z59" s="924"/>
      <c r="AA59" s="588"/>
      <c r="AB59" s="788" t="s">
        <v>75</v>
      </c>
      <c r="AC59" s="610" t="e">
        <f>IF(AB59="Jah",LOOKUP(Y59,'HT-Tööreisid (M3)'!$B$44:$B$64,'HT-Tööreisid (M3)'!$C$44:$C$64),IF(AB59="Ei","x "))</f>
        <v>#N/A</v>
      </c>
      <c r="AD59" s="348"/>
      <c r="AE59" s="783" t="e">
        <f>IF(AB59="Jah", LOOKUP(Y59,'HT-Tööreisid (M3)'!$B$44:$B$64,'HT-Tööreisid (M3)'!$E$44:$E$64),IF(AB59= "Ei", " "))</f>
        <v>#N/A</v>
      </c>
      <c r="AF59" s="549" t="e">
        <f t="shared" si="8"/>
        <v>#N/A</v>
      </c>
      <c r="AG59" s="549" t="e">
        <f t="shared" si="9"/>
        <v>#N/A</v>
      </c>
    </row>
    <row r="60" spans="1:33" ht="15" customHeight="1">
      <c r="B60" s="790"/>
      <c r="C60" s="923"/>
      <c r="D60" s="924"/>
      <c r="E60" s="588"/>
      <c r="F60" s="788" t="s">
        <v>75</v>
      </c>
      <c r="G60" s="610" t="e">
        <f>IF(F60="Jah",LOOKUP(C60,'HT-Tööreisid (M3)'!$B$44:$B$64,'HT-Tööreisid (M3)'!$C$44:$C$64),IF(F60="Ei","x "))</f>
        <v>#N/A</v>
      </c>
      <c r="H60" s="348"/>
      <c r="I60" s="783" t="e">
        <f>IF(F60="Jah", LOOKUP(C60,'HT-Tööreisid (M3)'!$B$44:$B$64,'HT-Tööreisid (M3)'!$E$44:$E$64),IF(F60= "Ei", " "))</f>
        <v>#N/A</v>
      </c>
      <c r="J60" s="549" t="e">
        <f t="shared" si="10"/>
        <v>#N/A</v>
      </c>
      <c r="K60" s="549" t="e">
        <f t="shared" si="11"/>
        <v>#N/A</v>
      </c>
      <c r="M60" s="790"/>
      <c r="N60" s="923"/>
      <c r="O60" s="924"/>
      <c r="P60" s="588"/>
      <c r="Q60" s="788" t="s">
        <v>75</v>
      </c>
      <c r="R60" s="610" t="e">
        <f>IF(Q60="Jah",LOOKUP(N60,'HT-Tööreisid (M3)'!$B$44:$B$64,'HT-Tööreisid (M3)'!$C$44:$C$64),IF(Q60="Ei","x "))</f>
        <v>#N/A</v>
      </c>
      <c r="S60" s="348"/>
      <c r="T60" s="783" t="e">
        <f>IF(Q60="Jah", LOOKUP(N60,'HT-Tööreisid (M3)'!$B$44:$B$64,'HT-Tööreisid (M3)'!$E$44:$E$64),IF(Q60= "Ei", " "))</f>
        <v>#N/A</v>
      </c>
      <c r="U60" s="549" t="e">
        <f t="shared" si="6"/>
        <v>#N/A</v>
      </c>
      <c r="V60" s="549" t="e">
        <f t="shared" si="7"/>
        <v>#N/A</v>
      </c>
      <c r="X60" s="790"/>
      <c r="Y60" s="923"/>
      <c r="Z60" s="924"/>
      <c r="AA60" s="588"/>
      <c r="AB60" s="788" t="s">
        <v>75</v>
      </c>
      <c r="AC60" s="610" t="e">
        <f>IF(AB60="Jah",LOOKUP(Y60,'HT-Tööreisid (M3)'!$B$44:$B$64,'HT-Tööreisid (M3)'!$C$44:$C$64),IF(AB60="Ei","x "))</f>
        <v>#N/A</v>
      </c>
      <c r="AD60" s="348"/>
      <c r="AE60" s="783" t="e">
        <f>IF(AB60="Jah", LOOKUP(Y60,'HT-Tööreisid (M3)'!$B$44:$B$64,'HT-Tööreisid (M3)'!$E$44:$E$64),IF(AB60= "Ei", " "))</f>
        <v>#N/A</v>
      </c>
      <c r="AF60" s="549" t="e">
        <f t="shared" si="8"/>
        <v>#N/A</v>
      </c>
      <c r="AG60" s="549" t="e">
        <f t="shared" si="9"/>
        <v>#N/A</v>
      </c>
    </row>
    <row r="61" spans="1:33" ht="15" customHeight="1">
      <c r="B61" s="790"/>
      <c r="C61" s="923"/>
      <c r="D61" s="924"/>
      <c r="E61" s="588"/>
      <c r="F61" s="788" t="s">
        <v>75</v>
      </c>
      <c r="G61" s="610" t="e">
        <f>IF(F61="Jah",LOOKUP(C61,'HT-Tööreisid (M3)'!$B$44:$B$64,'HT-Tööreisid (M3)'!$C$44:$C$64),IF(F61="Ei","x "))</f>
        <v>#N/A</v>
      </c>
      <c r="H61" s="348"/>
      <c r="I61" s="783" t="e">
        <f>IF(F61="Jah", LOOKUP(C61,'HT-Tööreisid (M3)'!$B$44:$B$64,'HT-Tööreisid (M3)'!$E$44:$E$64),IF(F61= "Ei", " "))</f>
        <v>#N/A</v>
      </c>
      <c r="J61" s="549" t="e">
        <f t="shared" si="10"/>
        <v>#N/A</v>
      </c>
      <c r="K61" s="549" t="e">
        <f t="shared" si="11"/>
        <v>#N/A</v>
      </c>
      <c r="M61" s="790"/>
      <c r="N61" s="923"/>
      <c r="O61" s="924"/>
      <c r="P61" s="588"/>
      <c r="Q61" s="788" t="s">
        <v>75</v>
      </c>
      <c r="R61" s="610" t="e">
        <f>IF(Q61="Jah",LOOKUP(N61,'HT-Tööreisid (M3)'!$B$44:$B$64,'HT-Tööreisid (M3)'!$C$44:$C$64),IF(Q61="Ei","x "))</f>
        <v>#N/A</v>
      </c>
      <c r="S61" s="348"/>
      <c r="T61" s="783" t="e">
        <f>IF(Q61="Jah", LOOKUP(N61,'HT-Tööreisid (M3)'!$B$44:$B$64,'HT-Tööreisid (M3)'!$E$44:$E$64),IF(Q61= "Ei", " "))</f>
        <v>#N/A</v>
      </c>
      <c r="U61" s="549" t="e">
        <f t="shared" si="6"/>
        <v>#N/A</v>
      </c>
      <c r="V61" s="549" t="e">
        <f t="shared" si="7"/>
        <v>#N/A</v>
      </c>
      <c r="X61" s="790"/>
      <c r="Y61" s="923"/>
      <c r="Z61" s="924"/>
      <c r="AA61" s="588"/>
      <c r="AB61" s="788" t="s">
        <v>75</v>
      </c>
      <c r="AC61" s="610" t="e">
        <f>IF(AB61="Jah",LOOKUP(Y61,'HT-Tööreisid (M3)'!$B$44:$B$64,'HT-Tööreisid (M3)'!$C$44:$C$64),IF(AB61="Ei","x "))</f>
        <v>#N/A</v>
      </c>
      <c r="AD61" s="348"/>
      <c r="AE61" s="783" t="e">
        <f>IF(AB61="Jah", LOOKUP(Y61,'HT-Tööreisid (M3)'!$B$44:$B$64,'HT-Tööreisid (M3)'!$E$44:$E$64),IF(AB61= "Ei", " "))</f>
        <v>#N/A</v>
      </c>
      <c r="AF61" s="549" t="e">
        <f t="shared" si="8"/>
        <v>#N/A</v>
      </c>
      <c r="AG61" s="549" t="e">
        <f t="shared" si="9"/>
        <v>#N/A</v>
      </c>
    </row>
    <row r="62" spans="1:33" ht="15" customHeight="1">
      <c r="A62" s="297"/>
      <c r="B62" s="790"/>
      <c r="C62" s="923"/>
      <c r="D62" s="924"/>
      <c r="E62" s="588"/>
      <c r="F62" s="788" t="s">
        <v>75</v>
      </c>
      <c r="G62" s="610" t="e">
        <f>IF(F62="Jah",LOOKUP(C62,'HT-Tööreisid (M3)'!$B$44:$B$64,'HT-Tööreisid (M3)'!$C$44:$C$64),IF(F62="Ei","x "))</f>
        <v>#N/A</v>
      </c>
      <c r="H62" s="348"/>
      <c r="I62" s="783" t="e">
        <f>IF(F62="Jah", LOOKUP(C62,'HT-Tööreisid (M3)'!$B$44:$B$64,'HT-Tööreisid (M3)'!$E$44:$E$64),IF(F62= "Ei", " "))</f>
        <v>#N/A</v>
      </c>
      <c r="J62" s="549" t="e">
        <f t="shared" si="10"/>
        <v>#N/A</v>
      </c>
      <c r="K62" s="549" t="e">
        <f t="shared" si="11"/>
        <v>#N/A</v>
      </c>
      <c r="M62" s="790"/>
      <c r="N62" s="923"/>
      <c r="O62" s="924"/>
      <c r="P62" s="588"/>
      <c r="Q62" s="788" t="s">
        <v>75</v>
      </c>
      <c r="R62" s="610" t="e">
        <f>IF(Q62="Jah",LOOKUP(N62,'HT-Tööreisid (M3)'!$B$44:$B$64,'HT-Tööreisid (M3)'!$C$44:$C$64),IF(Q62="Ei","x "))</f>
        <v>#N/A</v>
      </c>
      <c r="S62" s="348"/>
      <c r="T62" s="783" t="e">
        <f>IF(Q62="Jah", LOOKUP(N62,'HT-Tööreisid (M3)'!$B$44:$B$64,'HT-Tööreisid (M3)'!$E$44:$E$64),IF(Q62= "Ei", " "))</f>
        <v>#N/A</v>
      </c>
      <c r="U62" s="549" t="e">
        <f t="shared" si="6"/>
        <v>#N/A</v>
      </c>
      <c r="V62" s="549" t="e">
        <f t="shared" si="7"/>
        <v>#N/A</v>
      </c>
      <c r="X62" s="790"/>
      <c r="Y62" s="923"/>
      <c r="Z62" s="924"/>
      <c r="AA62" s="588"/>
      <c r="AB62" s="788" t="s">
        <v>75</v>
      </c>
      <c r="AC62" s="610" t="e">
        <f>IF(AB62="Jah",LOOKUP(Y62,'HT-Tööreisid (M3)'!$B$44:$B$64,'HT-Tööreisid (M3)'!$C$44:$C$64),IF(AB62="Ei","x "))</f>
        <v>#N/A</v>
      </c>
      <c r="AD62" s="348"/>
      <c r="AE62" s="783" t="e">
        <f>IF(AB62="Jah", LOOKUP(Y62,'HT-Tööreisid (M3)'!$B$44:$B$64,'HT-Tööreisid (M3)'!$E$44:$E$64),IF(AB62= "Ei", " "))</f>
        <v>#N/A</v>
      </c>
      <c r="AF62" s="549" t="e">
        <f t="shared" si="8"/>
        <v>#N/A</v>
      </c>
      <c r="AG62" s="549" t="e">
        <f t="shared" si="9"/>
        <v>#N/A</v>
      </c>
    </row>
    <row r="63" spans="1:33" ht="15" customHeight="1">
      <c r="A63" s="297"/>
      <c r="B63" s="790"/>
      <c r="C63" s="923"/>
      <c r="D63" s="924"/>
      <c r="E63" s="588"/>
      <c r="F63" s="788" t="s">
        <v>75</v>
      </c>
      <c r="G63" s="610" t="e">
        <f>IF(F63="Jah",LOOKUP(C63,'HT-Tööreisid (M3)'!$B$44:$B$64,'HT-Tööreisid (M3)'!$C$44:$C$64),IF(F63="Ei","x "))</f>
        <v>#N/A</v>
      </c>
      <c r="H63" s="348"/>
      <c r="I63" s="783" t="e">
        <f>IF(F63="Jah", LOOKUP(C63,'HT-Tööreisid (M3)'!$B$44:$B$64,'HT-Tööreisid (M3)'!$E$44:$E$64),IF(F63= "Ei", " "))</f>
        <v>#N/A</v>
      </c>
      <c r="J63" s="549" t="e">
        <f t="shared" si="10"/>
        <v>#N/A</v>
      </c>
      <c r="K63" s="549" t="e">
        <f t="shared" si="11"/>
        <v>#N/A</v>
      </c>
      <c r="M63" s="790"/>
      <c r="N63" s="923"/>
      <c r="O63" s="924"/>
      <c r="P63" s="588"/>
      <c r="Q63" s="788" t="s">
        <v>75</v>
      </c>
      <c r="R63" s="610" t="e">
        <f>IF(Q63="Jah",LOOKUP(N63,'HT-Tööreisid (M3)'!$B$44:$B$64,'HT-Tööreisid (M3)'!$C$44:$C$64),IF(Q63="Ei","x "))</f>
        <v>#N/A</v>
      </c>
      <c r="S63" s="348"/>
      <c r="T63" s="783" t="e">
        <f>IF(Q63="Jah", LOOKUP(N63,'HT-Tööreisid (M3)'!$B$44:$B$64,'HT-Tööreisid (M3)'!$E$44:$E$64),IF(Q63= "Ei", " "))</f>
        <v>#N/A</v>
      </c>
      <c r="U63" s="549" t="e">
        <f t="shared" si="6"/>
        <v>#N/A</v>
      </c>
      <c r="V63" s="549" t="e">
        <f t="shared" si="7"/>
        <v>#N/A</v>
      </c>
      <c r="X63" s="790"/>
      <c r="Y63" s="923"/>
      <c r="Z63" s="924"/>
      <c r="AA63" s="588"/>
      <c r="AB63" s="788" t="s">
        <v>75</v>
      </c>
      <c r="AC63" s="610" t="e">
        <f>IF(AB63="Jah",LOOKUP(Y63,'HT-Tööreisid (M3)'!$B$44:$B$64,'HT-Tööreisid (M3)'!$C$44:$C$64),IF(AB63="Ei","x "))</f>
        <v>#N/A</v>
      </c>
      <c r="AD63" s="348"/>
      <c r="AE63" s="783" t="e">
        <f>IF(AB63="Jah", LOOKUP(Y63,'HT-Tööreisid (M3)'!$B$44:$B$64,'HT-Tööreisid (M3)'!$E$44:$E$64),IF(AB63= "Ei", " "))</f>
        <v>#N/A</v>
      </c>
      <c r="AF63" s="549" t="e">
        <f t="shared" si="8"/>
        <v>#N/A</v>
      </c>
      <c r="AG63" s="549" t="e">
        <f t="shared" si="9"/>
        <v>#N/A</v>
      </c>
    </row>
    <row r="64" spans="1:33" ht="15" customHeight="1">
      <c r="A64" s="297"/>
      <c r="B64" s="790"/>
      <c r="C64" s="923"/>
      <c r="D64" s="924"/>
      <c r="E64" s="588"/>
      <c r="F64" s="788" t="s">
        <v>75</v>
      </c>
      <c r="G64" s="610" t="e">
        <f>IF(F64="Jah",LOOKUP(C64,'HT-Tööreisid (M3)'!$B$44:$B$64,'HT-Tööreisid (M3)'!$C$44:$C$64),IF(F64="Ei","x "))</f>
        <v>#N/A</v>
      </c>
      <c r="H64" s="348"/>
      <c r="I64" s="783" t="e">
        <f>IF(F64="Jah", LOOKUP(C64,'HT-Tööreisid (M3)'!$B$44:$B$64,'HT-Tööreisid (M3)'!$E$44:$E$64),IF(F64= "Ei", " "))</f>
        <v>#N/A</v>
      </c>
      <c r="J64" s="549" t="e">
        <f t="shared" si="10"/>
        <v>#N/A</v>
      </c>
      <c r="K64" s="549" t="e">
        <f t="shared" si="11"/>
        <v>#N/A</v>
      </c>
      <c r="M64" s="790"/>
      <c r="N64" s="923"/>
      <c r="O64" s="924"/>
      <c r="P64" s="588"/>
      <c r="Q64" s="788" t="s">
        <v>75</v>
      </c>
      <c r="R64" s="610" t="e">
        <f>IF(Q64="Jah",LOOKUP(N64,'HT-Tööreisid (M3)'!$B$44:$B$64,'HT-Tööreisid (M3)'!$C$44:$C$64),IF(Q64="Ei","x "))</f>
        <v>#N/A</v>
      </c>
      <c r="S64" s="348"/>
      <c r="T64" s="783" t="e">
        <f>IF(Q64="Jah", LOOKUP(N64,'HT-Tööreisid (M3)'!$B$44:$B$64,'HT-Tööreisid (M3)'!$E$44:$E$64),IF(Q64= "Ei", " "))</f>
        <v>#N/A</v>
      </c>
      <c r="U64" s="549" t="e">
        <f t="shared" si="6"/>
        <v>#N/A</v>
      </c>
      <c r="V64" s="549" t="e">
        <f t="shared" si="7"/>
        <v>#N/A</v>
      </c>
      <c r="X64" s="790"/>
      <c r="Y64" s="923"/>
      <c r="Z64" s="924"/>
      <c r="AA64" s="588"/>
      <c r="AB64" s="788" t="s">
        <v>75</v>
      </c>
      <c r="AC64" s="610" t="e">
        <f>IF(AB64="Jah",LOOKUP(Y64,'HT-Tööreisid (M3)'!$B$44:$B$64,'HT-Tööreisid (M3)'!$C$44:$C$64),IF(AB64="Ei","x "))</f>
        <v>#N/A</v>
      </c>
      <c r="AD64" s="348"/>
      <c r="AE64" s="783" t="e">
        <f>IF(AB64="Jah", LOOKUP(Y64,'HT-Tööreisid (M3)'!$B$44:$B$64,'HT-Tööreisid (M3)'!$E$44:$E$64),IF(AB64= "Ei", " "))</f>
        <v>#N/A</v>
      </c>
      <c r="AF64" s="549" t="e">
        <f t="shared" si="8"/>
        <v>#N/A</v>
      </c>
      <c r="AG64" s="549" t="e">
        <f t="shared" si="9"/>
        <v>#N/A</v>
      </c>
    </row>
    <row r="65" spans="1:33" ht="15" customHeight="1">
      <c r="B65" s="790"/>
      <c r="C65" s="923"/>
      <c r="D65" s="924"/>
      <c r="E65" s="588"/>
      <c r="F65" s="788" t="s">
        <v>75</v>
      </c>
      <c r="G65" s="610" t="e">
        <f>IF(F65="Jah",LOOKUP(C65,'HT-Tööreisid (M3)'!$B$44:$B$64,'HT-Tööreisid (M3)'!$C$44:$C$64),IF(F65="Ei","x "))</f>
        <v>#N/A</v>
      </c>
      <c r="H65" s="348"/>
      <c r="I65" s="783" t="e">
        <f>IF(F65="Jah", LOOKUP(C65,'HT-Tööreisid (M3)'!$B$44:$B$64,'HT-Tööreisid (M3)'!$E$44:$E$64),IF(F65= "Ei", " "))</f>
        <v>#N/A</v>
      </c>
      <c r="J65" s="549" t="e">
        <f t="shared" si="10"/>
        <v>#N/A</v>
      </c>
      <c r="K65" s="549" t="e">
        <f t="shared" si="11"/>
        <v>#N/A</v>
      </c>
      <c r="M65" s="790"/>
      <c r="N65" s="923"/>
      <c r="O65" s="924"/>
      <c r="P65" s="588"/>
      <c r="Q65" s="788" t="s">
        <v>75</v>
      </c>
      <c r="R65" s="610" t="e">
        <f>IF(Q65="Jah",LOOKUP(N65,'HT-Tööreisid (M3)'!$B$44:$B$64,'HT-Tööreisid (M3)'!$C$44:$C$64),IF(Q65="Ei","x "))</f>
        <v>#N/A</v>
      </c>
      <c r="S65" s="348"/>
      <c r="T65" s="783" t="e">
        <f>IF(Q65="Jah", LOOKUP(N65,'HT-Tööreisid (M3)'!$B$44:$B$64,'HT-Tööreisid (M3)'!$E$44:$E$64),IF(Q65= "Ei", " "))</f>
        <v>#N/A</v>
      </c>
      <c r="U65" s="549" t="e">
        <f t="shared" si="6"/>
        <v>#N/A</v>
      </c>
      <c r="V65" s="549" t="e">
        <f t="shared" si="7"/>
        <v>#N/A</v>
      </c>
      <c r="X65" s="790"/>
      <c r="Y65" s="923"/>
      <c r="Z65" s="924"/>
      <c r="AA65" s="588"/>
      <c r="AB65" s="788" t="s">
        <v>75</v>
      </c>
      <c r="AC65" s="610" t="e">
        <f>IF(AB65="Jah",LOOKUP(Y65,'HT-Tööreisid (M3)'!$B$44:$B$64,'HT-Tööreisid (M3)'!$C$44:$C$64),IF(AB65="Ei","x "))</f>
        <v>#N/A</v>
      </c>
      <c r="AD65" s="348"/>
      <c r="AE65" s="783" t="e">
        <f>IF(AB65="Jah", LOOKUP(Y65,'HT-Tööreisid (M3)'!$B$44:$B$64,'HT-Tööreisid (M3)'!$E$44:$E$64),IF(AB65= "Ei", " "))</f>
        <v>#N/A</v>
      </c>
      <c r="AF65" s="549" t="e">
        <f t="shared" si="8"/>
        <v>#N/A</v>
      </c>
      <c r="AG65" s="549" t="e">
        <f t="shared" si="9"/>
        <v>#N/A</v>
      </c>
    </row>
    <row r="66" spans="1:33" ht="15" customHeight="1">
      <c r="B66" s="790"/>
      <c r="C66" s="923"/>
      <c r="D66" s="924"/>
      <c r="E66" s="588"/>
      <c r="F66" s="788" t="s">
        <v>75</v>
      </c>
      <c r="G66" s="610" t="e">
        <f>IF(F66="Jah",LOOKUP(C66,'HT-Tööreisid (M3)'!$B$44:$B$64,'HT-Tööreisid (M3)'!$C$44:$C$64),IF(F66="Ei","x "))</f>
        <v>#N/A</v>
      </c>
      <c r="H66" s="348"/>
      <c r="I66" s="783" t="e">
        <f>IF(F66="Jah", LOOKUP(C66,'HT-Tööreisid (M3)'!$B$44:$B$64,'HT-Tööreisid (M3)'!$E$44:$E$64),IF(F66= "Ei", " "))</f>
        <v>#N/A</v>
      </c>
      <c r="J66" s="549" t="e">
        <f t="shared" si="10"/>
        <v>#N/A</v>
      </c>
      <c r="K66" s="549" t="e">
        <f t="shared" si="11"/>
        <v>#N/A</v>
      </c>
      <c r="M66" s="790"/>
      <c r="N66" s="923"/>
      <c r="O66" s="924"/>
      <c r="P66" s="588"/>
      <c r="Q66" s="788" t="s">
        <v>75</v>
      </c>
      <c r="R66" s="610" t="e">
        <f>IF(Q66="Jah",LOOKUP(N66,'HT-Tööreisid (M3)'!$B$44:$B$64,'HT-Tööreisid (M3)'!$C$44:$C$64),IF(Q66="Ei","x "))</f>
        <v>#N/A</v>
      </c>
      <c r="S66" s="348"/>
      <c r="T66" s="783" t="e">
        <f>IF(Q66="Jah", LOOKUP(N66,'HT-Tööreisid (M3)'!$B$44:$B$64,'HT-Tööreisid (M3)'!$E$44:$E$64),IF(Q66= "Ei", " "))</f>
        <v>#N/A</v>
      </c>
      <c r="U66" s="549" t="e">
        <f t="shared" si="6"/>
        <v>#N/A</v>
      </c>
      <c r="V66" s="549" t="e">
        <f t="shared" si="7"/>
        <v>#N/A</v>
      </c>
      <c r="X66" s="790"/>
      <c r="Y66" s="923"/>
      <c r="Z66" s="924"/>
      <c r="AA66" s="588"/>
      <c r="AB66" s="788" t="s">
        <v>75</v>
      </c>
      <c r="AC66" s="610" t="e">
        <f>IF(AB66="Jah",LOOKUP(Y66,'HT-Tööreisid (M3)'!$B$44:$B$64,'HT-Tööreisid (M3)'!$C$44:$C$64),IF(AB66="Ei","x "))</f>
        <v>#N/A</v>
      </c>
      <c r="AD66" s="348"/>
      <c r="AE66" s="783" t="e">
        <f>IF(AB66="Jah", LOOKUP(Y66,'HT-Tööreisid (M3)'!$B$44:$B$64,'HT-Tööreisid (M3)'!$E$44:$E$64),IF(AB66= "Ei", " "))</f>
        <v>#N/A</v>
      </c>
      <c r="AF66" s="549" t="e">
        <f t="shared" si="8"/>
        <v>#N/A</v>
      </c>
      <c r="AG66" s="549" t="e">
        <f t="shared" si="9"/>
        <v>#N/A</v>
      </c>
    </row>
    <row r="67" spans="1:33">
      <c r="B67" s="536"/>
      <c r="C67" s="537"/>
      <c r="D67" s="537"/>
      <c r="E67" s="591"/>
      <c r="F67" s="591"/>
      <c r="G67" s="591"/>
      <c r="H67" s="591"/>
      <c r="I67" s="592" t="s">
        <v>1592</v>
      </c>
      <c r="J67" s="593">
        <f>SUMIF(J57:J66,"&lt;&gt;#N/A")</f>
        <v>408.36729564785668</v>
      </c>
      <c r="K67" s="594">
        <f>SUMIF(K57:K66,"&lt;&gt;#N/A")</f>
        <v>0.40836729564785662</v>
      </c>
      <c r="M67" s="536"/>
      <c r="N67" s="537"/>
      <c r="O67" s="537"/>
      <c r="P67" s="591"/>
      <c r="Q67" s="591"/>
      <c r="R67" s="591"/>
      <c r="S67" s="591"/>
      <c r="T67" s="592" t="s">
        <v>1592</v>
      </c>
      <c r="U67" s="593">
        <f>SUMIF(U57:U66,"&lt;&gt;#N/A")</f>
        <v>0</v>
      </c>
      <c r="V67" s="594">
        <f>SUMIF(V57:V66,"&lt;&gt;#N/A")</f>
        <v>0</v>
      </c>
      <c r="X67" s="536"/>
      <c r="Y67" s="537"/>
      <c r="Z67" s="537"/>
      <c r="AA67" s="591"/>
      <c r="AB67" s="591"/>
      <c r="AC67" s="591"/>
      <c r="AD67" s="591"/>
      <c r="AE67" s="592" t="s">
        <v>1592</v>
      </c>
      <c r="AF67" s="593">
        <f>SUMIF(AF57:AF66,"&lt;&gt;#N/A")</f>
        <v>0</v>
      </c>
      <c r="AG67" s="594">
        <f>SUMIF(AG57:AG66,"&lt;&gt;#N/A")</f>
        <v>0</v>
      </c>
    </row>
    <row r="68" spans="1:33" ht="15" customHeight="1" thickBot="1">
      <c r="E68" s="297"/>
      <c r="F68" s="297"/>
      <c r="G68" s="297"/>
      <c r="H68" s="297"/>
    </row>
    <row r="69" spans="1:33" ht="15" customHeight="1" thickTop="1" thickBot="1">
      <c r="A69" s="297"/>
      <c r="B69" s="579"/>
      <c r="C69" s="580"/>
      <c r="D69" s="581"/>
      <c r="E69" s="581"/>
      <c r="F69" s="581"/>
      <c r="G69" s="581"/>
      <c r="H69" s="581"/>
      <c r="I69" s="532" t="s">
        <v>1554</v>
      </c>
      <c r="J69" s="534">
        <f>J48+J67</f>
        <v>766.96295126199368</v>
      </c>
      <c r="K69" s="535">
        <f>K48+K67</f>
        <v>0.76696295126199376</v>
      </c>
      <c r="M69" s="579"/>
      <c r="N69" s="580"/>
      <c r="O69" s="581"/>
      <c r="P69" s="581"/>
      <c r="Q69" s="581"/>
      <c r="R69" s="581"/>
      <c r="S69" s="581"/>
      <c r="T69" s="532" t="s">
        <v>1554</v>
      </c>
      <c r="U69" s="534">
        <f>U48+U67</f>
        <v>896.57248341253387</v>
      </c>
      <c r="V69" s="535">
        <f>V48+V67</f>
        <v>0.89657248341253393</v>
      </c>
      <c r="X69" s="579"/>
      <c r="Y69" s="580"/>
      <c r="Z69" s="581"/>
      <c r="AA69" s="581"/>
      <c r="AB69" s="581"/>
      <c r="AC69" s="581"/>
      <c r="AD69" s="581"/>
      <c r="AE69" s="532" t="s">
        <v>1554</v>
      </c>
      <c r="AF69" s="534">
        <f>AF48+AF67</f>
        <v>0</v>
      </c>
      <c r="AG69" s="535">
        <f>AG48+AG67</f>
        <v>0</v>
      </c>
    </row>
    <row r="70" spans="1:33" ht="15.5" thickTop="1">
      <c r="E70" s="297"/>
      <c r="F70" s="297"/>
      <c r="G70" s="297"/>
      <c r="H70" s="297"/>
    </row>
    <row r="71" spans="1:33">
      <c r="B71" s="536"/>
      <c r="C71" s="537"/>
      <c r="D71" s="537"/>
      <c r="E71" s="537"/>
      <c r="F71" s="537"/>
      <c r="G71" s="537"/>
      <c r="H71" s="537"/>
      <c r="I71" s="538" t="s">
        <v>1575</v>
      </c>
      <c r="J71" s="539">
        <f>SUMIF(B38:B47,1,J38:J47)+SUMIF(B57:B66,1,J57:J66)</f>
        <v>751.40594126060955</v>
      </c>
      <c r="K71" s="540">
        <f>J71*0.001</f>
        <v>0.75140594126060956</v>
      </c>
      <c r="M71" s="536"/>
      <c r="N71" s="537"/>
      <c r="O71" s="537"/>
      <c r="P71" s="537"/>
      <c r="Q71" s="537"/>
      <c r="R71" s="537"/>
      <c r="S71" s="537"/>
      <c r="T71" s="538" t="s">
        <v>1575</v>
      </c>
      <c r="U71" s="539">
        <f>SUMIF(M38:M47,1,U38:U47)+SUMIF(M57:M66,1,U57:U66)</f>
        <v>864.27833341022711</v>
      </c>
      <c r="V71" s="540">
        <f>U71*0.001</f>
        <v>0.86427833341022708</v>
      </c>
      <c r="X71" s="536"/>
      <c r="Y71" s="537"/>
      <c r="Z71" s="537"/>
      <c r="AA71" s="537"/>
      <c r="AB71" s="537"/>
      <c r="AC71" s="537"/>
      <c r="AD71" s="537"/>
      <c r="AE71" s="538" t="s">
        <v>1575</v>
      </c>
      <c r="AF71" s="539">
        <f>SUMIF(X38:X47,1,AF38:AF47)+SUMIF(X57:X66,1,AF57:AF66)</f>
        <v>0</v>
      </c>
      <c r="AG71" s="540">
        <f>AF71*0.001</f>
        <v>0</v>
      </c>
    </row>
    <row r="72" spans="1:33">
      <c r="B72" s="536"/>
      <c r="C72" s="537"/>
      <c r="D72" s="537"/>
      <c r="E72" s="537"/>
      <c r="F72" s="537"/>
      <c r="G72" s="537"/>
      <c r="H72" s="537"/>
      <c r="I72" s="538" t="s">
        <v>1576</v>
      </c>
      <c r="J72" s="539">
        <f>SUMIF(B38:B47,2,J38:J47)+SUMIF(B57:B66,2,J57:J66)</f>
        <v>15.557010001384086</v>
      </c>
      <c r="K72" s="540">
        <f>J72*0.001</f>
        <v>1.5557010001384087E-2</v>
      </c>
      <c r="M72" s="536"/>
      <c r="N72" s="537"/>
      <c r="O72" s="537"/>
      <c r="P72" s="537"/>
      <c r="Q72" s="537"/>
      <c r="R72" s="537"/>
      <c r="S72" s="537"/>
      <c r="T72" s="538" t="s">
        <v>1576</v>
      </c>
      <c r="U72" s="539">
        <f>SUMIF(M38:M47,2,U38:U47)+SUMIF(M57:M66,2,U57:U66)</f>
        <v>32.294150002306807</v>
      </c>
      <c r="V72" s="540">
        <f>U72*0.001</f>
        <v>3.2294150002306808E-2</v>
      </c>
      <c r="X72" s="536"/>
      <c r="Y72" s="537"/>
      <c r="Z72" s="537"/>
      <c r="AA72" s="537"/>
      <c r="AB72" s="537"/>
      <c r="AC72" s="537"/>
      <c r="AD72" s="537"/>
      <c r="AE72" s="538" t="s">
        <v>1576</v>
      </c>
      <c r="AF72" s="539">
        <f>SUMIF(X38:X47,2,AF38:AF47)+SUMIF(X57:X66,2,AF57:AF66)</f>
        <v>0</v>
      </c>
      <c r="AG72" s="540">
        <f>AF72*0.001</f>
        <v>0</v>
      </c>
    </row>
    <row r="73" spans="1:33">
      <c r="B73" s="536"/>
      <c r="C73" s="537"/>
      <c r="D73" s="537"/>
      <c r="E73" s="537"/>
      <c r="F73" s="537"/>
      <c r="G73" s="537"/>
      <c r="H73" s="537"/>
      <c r="I73" s="538" t="s">
        <v>1577</v>
      </c>
      <c r="J73" s="539">
        <f>SUMIF(B38:B47,3,J39:J48)+SUMIF(B57:B66,3,J57:J66)</f>
        <v>0</v>
      </c>
      <c r="K73" s="540">
        <f>J73*0.001</f>
        <v>0</v>
      </c>
      <c r="M73" s="536"/>
      <c r="N73" s="537"/>
      <c r="O73" s="537"/>
      <c r="P73" s="537"/>
      <c r="Q73" s="537"/>
      <c r="R73" s="537"/>
      <c r="S73" s="537"/>
      <c r="T73" s="538" t="s">
        <v>1577</v>
      </c>
      <c r="U73" s="539">
        <f>SUMIF(M38:M47,3,U39:U48)+SUMIF(M57:M66,3,U57:U66)</f>
        <v>0</v>
      </c>
      <c r="V73" s="540">
        <f>U73*0.001</f>
        <v>0</v>
      </c>
      <c r="X73" s="536"/>
      <c r="Y73" s="537"/>
      <c r="Z73" s="537"/>
      <c r="AA73" s="537"/>
      <c r="AB73" s="537"/>
      <c r="AC73" s="537"/>
      <c r="AD73" s="537"/>
      <c r="AE73" s="538" t="s">
        <v>1577</v>
      </c>
      <c r="AF73" s="539">
        <f>SUMIF(X38:X47,3,AF39:AF48)+SUMIF(X57:X66,3,AF57:AF66)</f>
        <v>0</v>
      </c>
      <c r="AG73" s="540">
        <f>AF73*0.001</f>
        <v>0</v>
      </c>
    </row>
  </sheetData>
  <mergeCells count="115">
    <mergeCell ref="Y64:Z64"/>
    <mergeCell ref="Y65:Z65"/>
    <mergeCell ref="Y66:Z66"/>
    <mergeCell ref="Y59:Z59"/>
    <mergeCell ref="Y60:Z60"/>
    <mergeCell ref="Y61:Z61"/>
    <mergeCell ref="Y62:Z62"/>
    <mergeCell ref="Y63:Z63"/>
    <mergeCell ref="AE53:AE56"/>
    <mergeCell ref="AF53:AG55"/>
    <mergeCell ref="AC56:AD56"/>
    <mergeCell ref="Y57:Z57"/>
    <mergeCell ref="Y58:Z58"/>
    <mergeCell ref="Y53:Z56"/>
    <mergeCell ref="AA53:AA56"/>
    <mergeCell ref="AB53:AB55"/>
    <mergeCell ref="AC53:AC55"/>
    <mergeCell ref="AD53:AD55"/>
    <mergeCell ref="AB34:AB36"/>
    <mergeCell ref="AC34:AC36"/>
    <mergeCell ref="AD34:AD36"/>
    <mergeCell ref="AE34:AE37"/>
    <mergeCell ref="AF34:AG36"/>
    <mergeCell ref="AC37:AD37"/>
    <mergeCell ref="N65:O65"/>
    <mergeCell ref="N66:O66"/>
    <mergeCell ref="X34:X37"/>
    <mergeCell ref="Y34:Z37"/>
    <mergeCell ref="AA34:AA37"/>
    <mergeCell ref="Y38:Z38"/>
    <mergeCell ref="Y39:Z39"/>
    <mergeCell ref="Y40:Z40"/>
    <mergeCell ref="Y41:Z41"/>
    <mergeCell ref="Y42:Z42"/>
    <mergeCell ref="Y43:Z43"/>
    <mergeCell ref="Y44:Z44"/>
    <mergeCell ref="Y45:Z45"/>
    <mergeCell ref="Y46:Z46"/>
    <mergeCell ref="Y47:Z47"/>
    <mergeCell ref="X53:X56"/>
    <mergeCell ref="N60:O60"/>
    <mergeCell ref="N61:O61"/>
    <mergeCell ref="N41:O41"/>
    <mergeCell ref="N42:O42"/>
    <mergeCell ref="N43:O43"/>
    <mergeCell ref="N62:O62"/>
    <mergeCell ref="N63:O63"/>
    <mergeCell ref="N64:O64"/>
    <mergeCell ref="U53:V55"/>
    <mergeCell ref="R56:S56"/>
    <mergeCell ref="N57:O57"/>
    <mergeCell ref="N58:O58"/>
    <mergeCell ref="N59:O59"/>
    <mergeCell ref="P53:P56"/>
    <mergeCell ref="Q53:Q55"/>
    <mergeCell ref="R53:R55"/>
    <mergeCell ref="S53:S55"/>
    <mergeCell ref="T53:T56"/>
    <mergeCell ref="C66:D66"/>
    <mergeCell ref="C57:D57"/>
    <mergeCell ref="C58:D58"/>
    <mergeCell ref="C59:D59"/>
    <mergeCell ref="C60:D60"/>
    <mergeCell ref="C61:D61"/>
    <mergeCell ref="S34:S36"/>
    <mergeCell ref="T34:T37"/>
    <mergeCell ref="U34:V36"/>
    <mergeCell ref="R37:S37"/>
    <mergeCell ref="N38:O38"/>
    <mergeCell ref="M34:M37"/>
    <mergeCell ref="N34:O37"/>
    <mergeCell ref="P34:P37"/>
    <mergeCell ref="Q34:Q36"/>
    <mergeCell ref="R34:R36"/>
    <mergeCell ref="N44:O44"/>
    <mergeCell ref="N45:O45"/>
    <mergeCell ref="N46:O46"/>
    <mergeCell ref="N47:O47"/>
    <mergeCell ref="M53:M56"/>
    <mergeCell ref="N53:O56"/>
    <mergeCell ref="N39:O39"/>
    <mergeCell ref="N40:O40"/>
    <mergeCell ref="H34:H36"/>
    <mergeCell ref="I34:I37"/>
    <mergeCell ref="F53:F55"/>
    <mergeCell ref="I53:I56"/>
    <mergeCell ref="G53:G55"/>
    <mergeCell ref="C62:D62"/>
    <mergeCell ref="C63:D63"/>
    <mergeCell ref="C64:D64"/>
    <mergeCell ref="C65:D65"/>
    <mergeCell ref="B3:K3"/>
    <mergeCell ref="C34:D37"/>
    <mergeCell ref="C38:D38"/>
    <mergeCell ref="C39:D39"/>
    <mergeCell ref="H53:H55"/>
    <mergeCell ref="B34:B37"/>
    <mergeCell ref="E34:E37"/>
    <mergeCell ref="B53:B56"/>
    <mergeCell ref="C40:D40"/>
    <mergeCell ref="C41:D41"/>
    <mergeCell ref="C42:D42"/>
    <mergeCell ref="C43:D43"/>
    <mergeCell ref="C44:D44"/>
    <mergeCell ref="C45:D45"/>
    <mergeCell ref="C46:D46"/>
    <mergeCell ref="C47:D47"/>
    <mergeCell ref="C53:D56"/>
    <mergeCell ref="J53:K55"/>
    <mergeCell ref="J34:K36"/>
    <mergeCell ref="G37:H37"/>
    <mergeCell ref="E53:E56"/>
    <mergeCell ref="G56:H56"/>
    <mergeCell ref="F34:F36"/>
    <mergeCell ref="G34:G36"/>
  </mergeCells>
  <conditionalFormatting sqref="F33:I33">
    <cfRule type="expression" dxfId="44" priority="17" stopIfTrue="1">
      <formula>NOT(F33="")</formula>
    </cfRule>
  </conditionalFormatting>
  <conditionalFormatting sqref="F52:I52">
    <cfRule type="expression" dxfId="43" priority="14" stopIfTrue="1">
      <formula>NOT(F52="")</formula>
    </cfRule>
  </conditionalFormatting>
  <conditionalFormatting sqref="F51:I51">
    <cfRule type="expression" dxfId="42" priority="13" stopIfTrue="1">
      <formula>NOT(F51="")</formula>
    </cfRule>
  </conditionalFormatting>
  <conditionalFormatting sqref="I38:I47">
    <cfRule type="expression" dxfId="41" priority="12">
      <formula>$F38="Ei"</formula>
    </cfRule>
  </conditionalFormatting>
  <conditionalFormatting sqref="I57:I66">
    <cfRule type="expression" dxfId="40" priority="11">
      <formula>$F57="Ei"</formula>
    </cfRule>
  </conditionalFormatting>
  <conditionalFormatting sqref="Q33:T33">
    <cfRule type="expression" dxfId="39" priority="10" stopIfTrue="1">
      <formula>NOT(Q33="")</formula>
    </cfRule>
  </conditionalFormatting>
  <conditionalFormatting sqref="Q52:T52">
    <cfRule type="expression" dxfId="38" priority="9" stopIfTrue="1">
      <formula>NOT(Q52="")</formula>
    </cfRule>
  </conditionalFormatting>
  <conditionalFormatting sqref="Q51:T51">
    <cfRule type="expression" dxfId="37" priority="8" stopIfTrue="1">
      <formula>NOT(Q51="")</formula>
    </cfRule>
  </conditionalFormatting>
  <conditionalFormatting sqref="T38:T47">
    <cfRule type="expression" dxfId="36" priority="7">
      <formula>$Q38="Ei"</formula>
    </cfRule>
  </conditionalFormatting>
  <conditionalFormatting sqref="T57:T66">
    <cfRule type="expression" dxfId="35" priority="6">
      <formula>$Q57="Ei"</formula>
    </cfRule>
  </conditionalFormatting>
  <conditionalFormatting sqref="AB33:AE33">
    <cfRule type="expression" dxfId="34" priority="5" stopIfTrue="1">
      <formula>NOT(AB33="")</formula>
    </cfRule>
  </conditionalFormatting>
  <conditionalFormatting sqref="AB52:AE52">
    <cfRule type="expression" dxfId="33" priority="4" stopIfTrue="1">
      <formula>NOT(AB52="")</formula>
    </cfRule>
  </conditionalFormatting>
  <conditionalFormatting sqref="AB51:AE51">
    <cfRule type="expression" dxfId="32" priority="3" stopIfTrue="1">
      <formula>NOT(AB51="")</formula>
    </cfRule>
  </conditionalFormatting>
  <conditionalFormatting sqref="AE38:AE47">
    <cfRule type="expression" dxfId="31" priority="2">
      <formula>$AB38="Ei"</formula>
    </cfRule>
  </conditionalFormatting>
  <conditionalFormatting sqref="AE57:AE66">
    <cfRule type="expression" dxfId="30" priority="1">
      <formula>$AB57="Ei"</formula>
    </cfRule>
  </conditionalFormatting>
  <hyperlinks>
    <hyperlink ref="A2" location="Sisukord!A1" display="Sisukord"/>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'HT-Tööreisid (M3)'!$B$44:$B$64</xm:f>
          </x14:formula1>
          <xm:sqref>C57:D66 Y57:Z66 N57:O66</xm:sqref>
        </x14:dataValidation>
        <x14:dataValidation type="list" allowBlank="1" showInputMessage="1" showErrorMessage="1">
          <x14:formula1>
            <xm:f>Viited!$B$65:$B$66</xm:f>
          </x14:formula1>
          <xm:sqref>G67:H67 F57:F67 F38:F49 G48:H49 F69:H69 R67:S67 Q57:Q67 Q38:Q49 R48:S49 Q69:S69 AC67:AD67 AB57:AB67 AB38:AB49 AC48:AD49 AB69:AD69</xm:sqref>
        </x14:dataValidation>
        <x14:dataValidation type="list" allowBlank="1" showInputMessage="1" showErrorMessage="1">
          <x14:formula1>
            <xm:f>'HT-Tööreisid (M3)'!$B$5:$B$40</xm:f>
          </x14:formula1>
          <xm:sqref>C38:D47 Y38:Z47 N38:O47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G77"/>
  <sheetViews>
    <sheetView showGridLines="0" zoomScale="90" zoomScaleNormal="90" workbookViewId="0">
      <pane xSplit="1" ySplit="1" topLeftCell="B36" activePane="bottomRight" state="frozen"/>
      <selection activeCell="B5" sqref="B5"/>
      <selection pane="topRight" activeCell="B5" sqref="B5"/>
      <selection pane="bottomLeft" activeCell="B5" sqref="B5"/>
      <selection pane="bottomRight" activeCell="J12" sqref="J12"/>
    </sheetView>
  </sheetViews>
  <sheetFormatPr defaultColWidth="8.54296875" defaultRowHeight="15"/>
  <cols>
    <col min="1" max="1" width="7.1796875" style="302" customWidth="1"/>
    <col min="2" max="2" width="9.7265625" style="297" customWidth="1"/>
    <col min="3" max="3" width="9.54296875" style="297" customWidth="1"/>
    <col min="4" max="4" width="40.54296875" style="297" customWidth="1"/>
    <col min="5" max="5" width="25.54296875" style="297" customWidth="1"/>
    <col min="6" max="6" width="16.7265625" style="297" customWidth="1"/>
    <col min="7" max="8" width="15.54296875" style="297" customWidth="1"/>
    <col min="9" max="9" width="50.54296875" style="297" customWidth="1"/>
    <col min="10" max="11" width="14" style="297" customWidth="1"/>
    <col min="12" max="12" width="8.54296875" style="297" customWidth="1"/>
    <col min="13" max="13" width="9.7265625" style="297" customWidth="1"/>
    <col min="14" max="14" width="9.81640625" style="297" customWidth="1"/>
    <col min="15" max="15" width="40.81640625" style="297" customWidth="1"/>
    <col min="16" max="16" width="25.54296875" style="297" customWidth="1"/>
    <col min="17" max="17" width="16.7265625" style="297" customWidth="1"/>
    <col min="18" max="19" width="15.81640625" style="297" customWidth="1"/>
    <col min="20" max="20" width="50.81640625" style="297" customWidth="1"/>
    <col min="21" max="22" width="14" style="297" customWidth="1"/>
    <col min="23" max="23" width="8.54296875" style="297"/>
    <col min="24" max="24" width="9.7265625" style="297" customWidth="1"/>
    <col min="25" max="25" width="9.81640625" style="297" customWidth="1"/>
    <col min="26" max="26" width="40.81640625" style="297" customWidth="1"/>
    <col min="27" max="27" width="25.54296875" style="297" customWidth="1"/>
    <col min="28" max="28" width="16.7265625" style="297" customWidth="1"/>
    <col min="29" max="30" width="15.81640625" style="297" customWidth="1"/>
    <col min="31" max="31" width="50.81640625" style="297" customWidth="1"/>
    <col min="32" max="33" width="14" style="297" customWidth="1"/>
    <col min="34" max="16384" width="8.54296875" style="297"/>
  </cols>
  <sheetData>
    <row r="1" spans="1:11" s="319" customFormat="1" ht="21" customHeight="1">
      <c r="A1" s="293"/>
      <c r="B1" s="291" t="s">
        <v>113</v>
      </c>
      <c r="F1" s="583"/>
      <c r="G1" s="583"/>
      <c r="H1" s="583"/>
    </row>
    <row r="2" spans="1:11" ht="15" customHeight="1">
      <c r="A2" s="295" t="s">
        <v>1</v>
      </c>
      <c r="B2" s="516" t="s">
        <v>1783</v>
      </c>
      <c r="C2" s="517"/>
      <c r="D2" s="517"/>
      <c r="E2" s="517"/>
      <c r="F2" s="517"/>
      <c r="G2" s="517"/>
      <c r="H2" s="517"/>
      <c r="I2" s="517"/>
      <c r="J2" s="517"/>
      <c r="K2" s="518"/>
    </row>
    <row r="3" spans="1:11" ht="15" customHeight="1">
      <c r="A3" s="295"/>
      <c r="B3" s="519" t="s">
        <v>2323</v>
      </c>
      <c r="K3" s="520"/>
    </row>
    <row r="4" spans="1:11" ht="15" customHeight="1">
      <c r="A4" s="295"/>
      <c r="B4" s="519" t="s">
        <v>2324</v>
      </c>
      <c r="K4" s="520"/>
    </row>
    <row r="5" spans="1:11" ht="15" customHeight="1">
      <c r="A5" s="295"/>
      <c r="B5" s="519" t="s">
        <v>2335</v>
      </c>
      <c r="K5" s="520"/>
    </row>
    <row r="6" spans="1:11" ht="15" customHeight="1">
      <c r="A6" s="295"/>
      <c r="B6" s="519" t="s">
        <v>2334</v>
      </c>
      <c r="K6" s="520"/>
    </row>
    <row r="7" spans="1:11" ht="15" customHeight="1">
      <c r="A7" s="295"/>
      <c r="B7" s="519"/>
      <c r="K7" s="520"/>
    </row>
    <row r="8" spans="1:11" ht="15" customHeight="1">
      <c r="A8" s="295"/>
      <c r="B8" s="554" t="s">
        <v>66</v>
      </c>
      <c r="C8" s="296"/>
      <c r="K8" s="520"/>
    </row>
    <row r="9" spans="1:11" ht="15" customHeight="1">
      <c r="A9" s="295"/>
      <c r="B9" s="519" t="s">
        <v>1784</v>
      </c>
      <c r="K9" s="520"/>
    </row>
    <row r="10" spans="1:11" ht="15" customHeight="1">
      <c r="A10" s="295"/>
      <c r="B10" s="519" t="s">
        <v>1785</v>
      </c>
      <c r="K10" s="520"/>
    </row>
    <row r="11" spans="1:11" ht="15" customHeight="1">
      <c r="A11" s="295"/>
      <c r="B11" s="519" t="s">
        <v>1786</v>
      </c>
      <c r="K11" s="520"/>
    </row>
    <row r="12" spans="1:11" ht="15" customHeight="1">
      <c r="A12" s="295"/>
      <c r="B12" s="519" t="s">
        <v>1787</v>
      </c>
      <c r="K12" s="520"/>
    </row>
    <row r="13" spans="1:11" ht="15" customHeight="1">
      <c r="A13" s="295"/>
      <c r="B13" s="519" t="s">
        <v>2094</v>
      </c>
      <c r="K13" s="520"/>
    </row>
    <row r="14" spans="1:11" ht="15" customHeight="1">
      <c r="A14" s="295"/>
      <c r="B14" s="519" t="s">
        <v>1788</v>
      </c>
      <c r="K14" s="520"/>
    </row>
    <row r="15" spans="1:11" ht="15" customHeight="1">
      <c r="A15" s="295"/>
      <c r="B15" s="554" t="s">
        <v>2095</v>
      </c>
      <c r="C15" s="296"/>
      <c r="K15" s="520"/>
    </row>
    <row r="16" spans="1:11" ht="15" customHeight="1">
      <c r="A16" s="295"/>
      <c r="B16" s="519" t="s">
        <v>1789</v>
      </c>
      <c r="K16" s="520"/>
    </row>
    <row r="17" spans="1:33" ht="15" customHeight="1">
      <c r="A17" s="295"/>
      <c r="B17" s="519" t="s">
        <v>1790</v>
      </c>
      <c r="K17" s="520"/>
    </row>
    <row r="18" spans="1:33" ht="15" customHeight="1">
      <c r="A18" s="295"/>
      <c r="B18" s="519" t="s">
        <v>1791</v>
      </c>
      <c r="K18" s="520"/>
    </row>
    <row r="19" spans="1:33" ht="15" customHeight="1">
      <c r="A19" s="295"/>
      <c r="B19" s="519"/>
      <c r="K19" s="520"/>
    </row>
    <row r="20" spans="1:33" ht="15" customHeight="1">
      <c r="A20" s="295"/>
      <c r="B20" s="519" t="s">
        <v>1767</v>
      </c>
      <c r="D20" s="501"/>
      <c r="K20" s="520"/>
    </row>
    <row r="21" spans="1:33" ht="15" customHeight="1">
      <c r="A21" s="295"/>
      <c r="B21" s="519" t="s">
        <v>2096</v>
      </c>
      <c r="D21" s="501"/>
      <c r="K21" s="520"/>
    </row>
    <row r="22" spans="1:33" ht="15" customHeight="1">
      <c r="A22" s="295"/>
      <c r="B22" s="519" t="s">
        <v>1768</v>
      </c>
      <c r="D22" s="501"/>
      <c r="K22" s="520"/>
    </row>
    <row r="23" spans="1:33" ht="15" customHeight="1">
      <c r="A23" s="295"/>
      <c r="B23" s="519"/>
      <c r="D23" s="501"/>
      <c r="K23" s="520"/>
    </row>
    <row r="24" spans="1:33" ht="15" customHeight="1">
      <c r="A24" s="295"/>
      <c r="B24" s="519" t="s">
        <v>2097</v>
      </c>
      <c r="D24" s="501"/>
      <c r="K24" s="520"/>
    </row>
    <row r="25" spans="1:33" ht="15" customHeight="1">
      <c r="A25" s="295"/>
      <c r="B25" s="519" t="s">
        <v>1792</v>
      </c>
      <c r="D25" s="501"/>
      <c r="K25" s="520"/>
    </row>
    <row r="26" spans="1:33" ht="15" customHeight="1">
      <c r="A26" s="295"/>
      <c r="B26" s="519"/>
      <c r="D26" s="501"/>
      <c r="K26" s="520"/>
    </row>
    <row r="27" spans="1:33" ht="15" customHeight="1">
      <c r="A27" s="295"/>
      <c r="B27" s="523" t="s">
        <v>1746</v>
      </c>
      <c r="C27" s="584"/>
      <c r="D27" s="564"/>
      <c r="E27" s="524"/>
      <c r="F27" s="524"/>
      <c r="G27" s="524"/>
      <c r="H27" s="524"/>
      <c r="I27" s="524"/>
      <c r="J27" s="524"/>
      <c r="K27" s="525"/>
    </row>
    <row r="28" spans="1:33" ht="15" customHeight="1" thickBot="1">
      <c r="A28" s="295"/>
      <c r="D28" s="501"/>
    </row>
    <row r="29" spans="1:33" ht="15.75" customHeight="1" thickTop="1" thickBot="1">
      <c r="A29" s="297"/>
      <c r="B29" s="502" t="s">
        <v>55</v>
      </c>
      <c r="C29" s="526">
        <f>Organisatsioon!B23</f>
        <v>2021</v>
      </c>
      <c r="M29" s="502" t="s">
        <v>55</v>
      </c>
      <c r="N29" s="526">
        <f>Organisatsioon!B24</f>
        <v>2022</v>
      </c>
      <c r="X29" s="502" t="s">
        <v>55</v>
      </c>
      <c r="Y29" s="526">
        <f>Organisatsioon!B25</f>
        <v>2023</v>
      </c>
    </row>
    <row r="30" spans="1:33" s="501" customFormat="1" ht="15" customHeight="1" thickTop="1">
      <c r="A30" s="297"/>
      <c r="B30" s="297"/>
      <c r="C30" s="297"/>
      <c r="D30" s="297"/>
      <c r="E30" s="297"/>
      <c r="F30" s="297"/>
      <c r="G30" s="297"/>
      <c r="H30" s="297"/>
      <c r="I30" s="297"/>
      <c r="J30" s="297"/>
      <c r="K30" s="297"/>
      <c r="L30" s="297"/>
      <c r="M30" s="297"/>
      <c r="N30" s="297"/>
      <c r="O30" s="297"/>
      <c r="P30" s="297"/>
      <c r="Q30" s="297"/>
      <c r="R30" s="297"/>
      <c r="S30" s="297"/>
      <c r="T30" s="297"/>
      <c r="U30" s="297"/>
      <c r="V30" s="297"/>
      <c r="X30" s="297"/>
      <c r="Y30" s="297"/>
      <c r="Z30" s="297"/>
      <c r="AA30" s="297"/>
      <c r="AB30" s="297"/>
      <c r="AC30" s="297"/>
      <c r="AD30" s="297"/>
      <c r="AE30" s="297"/>
      <c r="AF30" s="297"/>
      <c r="AG30" s="297"/>
    </row>
    <row r="31" spans="1:33" s="501" customFormat="1" ht="15" customHeight="1">
      <c r="A31" s="297"/>
      <c r="B31" s="308" t="s">
        <v>1677</v>
      </c>
      <c r="C31" s="308"/>
      <c r="D31" s="585"/>
      <c r="E31" s="567"/>
      <c r="F31" s="568"/>
      <c r="G31" s="568"/>
      <c r="H31" s="568"/>
      <c r="I31" s="586"/>
      <c r="J31" s="569"/>
      <c r="K31" s="570"/>
      <c r="L31" s="297"/>
      <c r="M31" s="308" t="s">
        <v>1677</v>
      </c>
      <c r="N31" s="308"/>
      <c r="O31" s="585"/>
      <c r="P31" s="567"/>
      <c r="Q31" s="568"/>
      <c r="R31" s="568"/>
      <c r="S31" s="568"/>
      <c r="T31" s="586"/>
      <c r="U31" s="569"/>
      <c r="V31" s="570"/>
      <c r="X31" s="308" t="s">
        <v>1677</v>
      </c>
      <c r="Y31" s="308"/>
      <c r="Z31" s="585"/>
      <c r="AA31" s="567"/>
      <c r="AB31" s="568"/>
      <c r="AC31" s="568"/>
      <c r="AD31" s="568"/>
      <c r="AE31" s="586"/>
      <c r="AF31" s="569"/>
      <c r="AG31" s="570"/>
    </row>
    <row r="32" spans="1:33" s="395" customFormat="1" ht="15" customHeight="1">
      <c r="A32" s="297"/>
      <c r="B32" s="308" t="s">
        <v>1870</v>
      </c>
      <c r="C32" s="308"/>
      <c r="D32" s="585"/>
      <c r="E32" s="567"/>
      <c r="F32" s="568"/>
      <c r="G32" s="568"/>
      <c r="H32" s="568"/>
      <c r="I32" s="586"/>
      <c r="J32" s="569"/>
      <c r="K32" s="595"/>
      <c r="L32" s="297"/>
      <c r="M32" s="308" t="s">
        <v>1870</v>
      </c>
      <c r="N32" s="308"/>
      <c r="O32" s="585"/>
      <c r="P32" s="567"/>
      <c r="Q32" s="568"/>
      <c r="R32" s="568"/>
      <c r="S32" s="568"/>
      <c r="T32" s="586"/>
      <c r="U32" s="569"/>
      <c r="V32" s="595"/>
      <c r="X32" s="308" t="s">
        <v>1870</v>
      </c>
      <c r="Y32" s="308"/>
      <c r="Z32" s="585"/>
      <c r="AA32" s="567"/>
      <c r="AB32" s="568"/>
      <c r="AC32" s="568"/>
      <c r="AD32" s="568"/>
      <c r="AE32" s="586"/>
      <c r="AF32" s="569"/>
      <c r="AG32" s="595"/>
    </row>
    <row r="33" spans="1:33" ht="15" customHeight="1">
      <c r="A33" s="297"/>
      <c r="B33" s="925" t="s">
        <v>57</v>
      </c>
      <c r="C33" s="908" t="s">
        <v>1450</v>
      </c>
      <c r="D33" s="909"/>
      <c r="E33" s="925" t="s">
        <v>111</v>
      </c>
      <c r="F33" s="908" t="s">
        <v>68</v>
      </c>
      <c r="G33" s="914" t="s">
        <v>69</v>
      </c>
      <c r="H33" s="914" t="s">
        <v>70</v>
      </c>
      <c r="I33" s="909" t="s">
        <v>71</v>
      </c>
      <c r="J33" s="916" t="s">
        <v>86</v>
      </c>
      <c r="K33" s="917"/>
      <c r="M33" s="925" t="s">
        <v>57</v>
      </c>
      <c r="N33" s="908" t="s">
        <v>1450</v>
      </c>
      <c r="O33" s="909"/>
      <c r="P33" s="925" t="s">
        <v>111</v>
      </c>
      <c r="Q33" s="908" t="s">
        <v>68</v>
      </c>
      <c r="R33" s="914" t="s">
        <v>69</v>
      </c>
      <c r="S33" s="914" t="s">
        <v>70</v>
      </c>
      <c r="T33" s="909" t="s">
        <v>71</v>
      </c>
      <c r="U33" s="916" t="s">
        <v>86</v>
      </c>
      <c r="V33" s="917"/>
      <c r="X33" s="925" t="s">
        <v>57</v>
      </c>
      <c r="Y33" s="908" t="s">
        <v>1450</v>
      </c>
      <c r="Z33" s="909"/>
      <c r="AA33" s="925" t="s">
        <v>111</v>
      </c>
      <c r="AB33" s="908" t="s">
        <v>68</v>
      </c>
      <c r="AC33" s="914" t="s">
        <v>69</v>
      </c>
      <c r="AD33" s="914" t="s">
        <v>70</v>
      </c>
      <c r="AE33" s="909" t="s">
        <v>71</v>
      </c>
      <c r="AF33" s="916" t="s">
        <v>86</v>
      </c>
      <c r="AG33" s="917"/>
    </row>
    <row r="34" spans="1:33" ht="15" customHeight="1">
      <c r="B34" s="926"/>
      <c r="C34" s="928"/>
      <c r="D34" s="929"/>
      <c r="E34" s="926"/>
      <c r="F34" s="928"/>
      <c r="G34" s="915"/>
      <c r="H34" s="915"/>
      <c r="I34" s="929"/>
      <c r="J34" s="918"/>
      <c r="K34" s="919"/>
      <c r="M34" s="926"/>
      <c r="N34" s="928"/>
      <c r="O34" s="929"/>
      <c r="P34" s="926"/>
      <c r="Q34" s="928"/>
      <c r="R34" s="915"/>
      <c r="S34" s="915"/>
      <c r="T34" s="929"/>
      <c r="U34" s="918"/>
      <c r="V34" s="919"/>
      <c r="X34" s="926"/>
      <c r="Y34" s="928"/>
      <c r="Z34" s="929"/>
      <c r="AA34" s="926"/>
      <c r="AB34" s="928"/>
      <c r="AC34" s="915"/>
      <c r="AD34" s="915"/>
      <c r="AE34" s="929"/>
      <c r="AF34" s="918"/>
      <c r="AG34" s="919"/>
    </row>
    <row r="35" spans="1:33" ht="15" customHeight="1">
      <c r="B35" s="926"/>
      <c r="C35" s="928"/>
      <c r="D35" s="929"/>
      <c r="E35" s="926"/>
      <c r="F35" s="910"/>
      <c r="G35" s="922"/>
      <c r="H35" s="922"/>
      <c r="I35" s="929"/>
      <c r="J35" s="920"/>
      <c r="K35" s="921"/>
      <c r="M35" s="926"/>
      <c r="N35" s="928"/>
      <c r="O35" s="929"/>
      <c r="P35" s="926"/>
      <c r="Q35" s="910"/>
      <c r="R35" s="922"/>
      <c r="S35" s="922"/>
      <c r="T35" s="929"/>
      <c r="U35" s="920"/>
      <c r="V35" s="921"/>
      <c r="X35" s="926"/>
      <c r="Y35" s="928"/>
      <c r="Z35" s="929"/>
      <c r="AA35" s="926"/>
      <c r="AB35" s="910"/>
      <c r="AC35" s="922"/>
      <c r="AD35" s="922"/>
      <c r="AE35" s="929"/>
      <c r="AF35" s="920"/>
      <c r="AG35" s="921"/>
    </row>
    <row r="36" spans="1:33" ht="15" customHeight="1">
      <c r="B36" s="927"/>
      <c r="C36" s="910"/>
      <c r="D36" s="911"/>
      <c r="E36" s="927"/>
      <c r="F36" s="571" t="s">
        <v>73</v>
      </c>
      <c r="G36" s="910" t="s">
        <v>2098</v>
      </c>
      <c r="H36" s="911"/>
      <c r="I36" s="922"/>
      <c r="J36" s="545" t="s">
        <v>2085</v>
      </c>
      <c r="K36" s="545" t="s">
        <v>2086</v>
      </c>
      <c r="M36" s="927"/>
      <c r="N36" s="910"/>
      <c r="O36" s="911"/>
      <c r="P36" s="927"/>
      <c r="Q36" s="571" t="s">
        <v>73</v>
      </c>
      <c r="R36" s="910" t="s">
        <v>2098</v>
      </c>
      <c r="S36" s="911"/>
      <c r="T36" s="922"/>
      <c r="U36" s="545" t="s">
        <v>2085</v>
      </c>
      <c r="V36" s="545" t="s">
        <v>2086</v>
      </c>
      <c r="X36" s="927"/>
      <c r="Y36" s="910"/>
      <c r="Z36" s="911"/>
      <c r="AA36" s="927"/>
      <c r="AB36" s="571" t="s">
        <v>73</v>
      </c>
      <c r="AC36" s="910" t="s">
        <v>2098</v>
      </c>
      <c r="AD36" s="911"/>
      <c r="AE36" s="922"/>
      <c r="AF36" s="545" t="s">
        <v>2085</v>
      </c>
      <c r="AG36" s="545" t="s">
        <v>2086</v>
      </c>
    </row>
    <row r="37" spans="1:33" ht="15" customHeight="1">
      <c r="B37" s="587">
        <v>1</v>
      </c>
      <c r="C37" s="923" t="s">
        <v>1500</v>
      </c>
      <c r="D37" s="924"/>
      <c r="E37" s="588">
        <v>100</v>
      </c>
      <c r="F37" s="572" t="s">
        <v>75</v>
      </c>
      <c r="G37" s="589">
        <f>IF(F37="Jah",LOOKUP(C37,'HT-Tööle-koju (M3)'!$B$5:$B$44,'HT-Tööle-koju (M3)'!$C$5:$C$44),IF(F37="Ei","x "))</f>
        <v>7.8935919999999996E-3</v>
      </c>
      <c r="H37" s="547"/>
      <c r="I37" s="574" t="str">
        <f>IF(F37="Jah", LOOKUP(C37,'HT-Tööle-koju (M3)'!$B$5:$B$44,'HT-Tööle-koju (M3)'!$E$5:$E$44),IF(F37= "Ei", " "))</f>
        <v>Elektrijalgratta tootja ja elektritõukejalgratta tootja andmed (keskmine elektritarbimine: 0,0124 kWh/km)</v>
      </c>
      <c r="J37" s="549">
        <f>IF(F37="Jah",E37*(G37), IF(F37="Ei",E37*H37))</f>
        <v>0.78935919999999993</v>
      </c>
      <c r="K37" s="549">
        <f>J37*0.001</f>
        <v>7.8935919999999996E-4</v>
      </c>
      <c r="M37" s="587">
        <v>1</v>
      </c>
      <c r="N37" s="923" t="s">
        <v>1473</v>
      </c>
      <c r="O37" s="924"/>
      <c r="P37" s="588">
        <v>5000</v>
      </c>
      <c r="Q37" s="572" t="s">
        <v>75</v>
      </c>
      <c r="R37" s="589">
        <f>IF(Q37="Jah",LOOKUP(N37,'HT-Tööle-koju (M3)'!$B$5:$B$44,'HT-Tööle-koju (M3)'!$C$5:$C$44),IF(Q37="Ei","x "))</f>
        <v>0.16174245288907316</v>
      </c>
      <c r="S37" s="547"/>
      <c r="T37" s="574" t="str">
        <f>IF(Q37="Jah", LOOKUP(N37,'HT-Tööle-koju (M3)'!$B$5:$B$44,'HT-Tööle-koju (M3)'!$E$5:$E$44),IF(Q37= "Ei", " "))</f>
        <v>KHG inventuuri aruanne 2022</v>
      </c>
      <c r="U37" s="549">
        <f t="shared" ref="U37:U46" si="0">IF(Q37="Jah",P37*(R37), IF(Q37="Ei",P37*S37))</f>
        <v>808.7122644453658</v>
      </c>
      <c r="V37" s="549">
        <f t="shared" ref="V37:V46" si="1">U37*0.001</f>
        <v>0.80871226444536581</v>
      </c>
      <c r="X37" s="587"/>
      <c r="Y37" s="923"/>
      <c r="Z37" s="924"/>
      <c r="AA37" s="588"/>
      <c r="AB37" s="572" t="s">
        <v>75</v>
      </c>
      <c r="AC37" s="589" t="e">
        <f>IF(AB37="Jah",LOOKUP(Y37,'HT-Tööle-koju (M3)'!$B$5:$B$44,'HT-Tööle-koju (M3)'!$C$5:$C$44),IF(AB37="Ei","x "))</f>
        <v>#N/A</v>
      </c>
      <c r="AD37" s="547"/>
      <c r="AE37" s="574" t="e">
        <f>IF(AB37="Jah", LOOKUP(Y37,'HT-Tööle-koju (M3)'!$B$5:$B$44,'HT-Tööle-koju (M3)'!$E$5:$E$44),IF(AB37= "Ei", " "))</f>
        <v>#N/A</v>
      </c>
      <c r="AF37" s="549" t="e">
        <f t="shared" ref="AF37:AF46" si="2">IF(AB37="Jah",AA37*(AC37), IF(AB37="Ei",AA37*AD37))</f>
        <v>#N/A</v>
      </c>
      <c r="AG37" s="549" t="e">
        <f t="shared" ref="AG37:AG46" si="3">AF37*0.001</f>
        <v>#N/A</v>
      </c>
    </row>
    <row r="38" spans="1:33" ht="15" customHeight="1">
      <c r="B38" s="587">
        <v>1</v>
      </c>
      <c r="C38" s="923" t="s">
        <v>1468</v>
      </c>
      <c r="D38" s="924"/>
      <c r="E38" s="588">
        <v>1000</v>
      </c>
      <c r="F38" s="572" t="s">
        <v>75</v>
      </c>
      <c r="G38" s="589">
        <f>IF(F38="Jah",LOOKUP(C38,'HT-Tööle-koju (M3)'!$B$5:$B$44,'HT-Tööle-koju (M3)'!$C$5:$C$44),IF(F38="Ei","x "))</f>
        <v>0.15060969005304506</v>
      </c>
      <c r="H38" s="547"/>
      <c r="I38" s="574" t="str">
        <f>IF(F38="Jah", LOOKUP(C38,'HT-Tööle-koju (M3)'!$B$5:$B$44,'HT-Tööle-koju (M3)'!$E$5:$E$44),IF(F38= "Ei", " "))</f>
        <v>KHG inventuuri aruanne 2022</v>
      </c>
      <c r="J38" s="549">
        <f t="shared" ref="J38:J46" si="4">IF(F38="Jah",E38*(G38), IF(F38="Ei",E38*H38))</f>
        <v>150.60969005304506</v>
      </c>
      <c r="K38" s="549">
        <f t="shared" ref="K38:K46" si="5">J38*0.001</f>
        <v>0.15060969005304506</v>
      </c>
      <c r="M38" s="587">
        <v>2</v>
      </c>
      <c r="N38" s="923" t="s">
        <v>1480</v>
      </c>
      <c r="O38" s="924"/>
      <c r="P38" s="588">
        <v>100</v>
      </c>
      <c r="Q38" s="572" t="s">
        <v>75</v>
      </c>
      <c r="R38" s="589">
        <f>IF(Q38="Jah",LOOKUP(N38,'HT-Tööle-koju (M3)'!$B$5:$B$44,'HT-Tööle-koju (M3)'!$C$5:$C$44),IF(Q38="Ei","x "))</f>
        <v>0.18053987907914804</v>
      </c>
      <c r="S38" s="547"/>
      <c r="T38" s="574" t="str">
        <f>IF(Q38="Jah", LOOKUP(N38,'HT-Tööle-koju (M3)'!$B$5:$B$44,'HT-Tööle-koju (M3)'!$E$5:$E$44),IF(Q38= "Ei", " "))</f>
        <v>Bensiini- ja diiselmootoriga sõiduautode keskmine</v>
      </c>
      <c r="U38" s="549">
        <f t="shared" si="0"/>
        <v>18.053987907914802</v>
      </c>
      <c r="V38" s="549">
        <f t="shared" si="1"/>
        <v>1.8053987907914803E-2</v>
      </c>
      <c r="X38" s="587"/>
      <c r="Y38" s="923"/>
      <c r="Z38" s="924"/>
      <c r="AA38" s="588"/>
      <c r="AB38" s="572" t="s">
        <v>75</v>
      </c>
      <c r="AC38" s="589" t="e">
        <f>IF(AB38="Jah",LOOKUP(Y38,'HT-Tööle-koju (M3)'!$B$5:$B$44,'HT-Tööle-koju (M3)'!$C$5:$C$44),IF(AB38="Ei","x "))</f>
        <v>#N/A</v>
      </c>
      <c r="AD38" s="547"/>
      <c r="AE38" s="574" t="e">
        <f>IF(AB38="Jah", LOOKUP(Y38,'HT-Tööle-koju (M3)'!$B$5:$B$44,'HT-Tööle-koju (M3)'!$E$5:$E$44),IF(AB38= "Ei", " "))</f>
        <v>#N/A</v>
      </c>
      <c r="AF38" s="549" t="e">
        <f t="shared" si="2"/>
        <v>#N/A</v>
      </c>
      <c r="AG38" s="549" t="e">
        <f t="shared" si="3"/>
        <v>#N/A</v>
      </c>
    </row>
    <row r="39" spans="1:33" ht="15" customHeight="1">
      <c r="A39" s="395"/>
      <c r="B39" s="587">
        <v>1</v>
      </c>
      <c r="C39" s="923" t="s">
        <v>1480</v>
      </c>
      <c r="D39" s="924"/>
      <c r="E39" s="588">
        <v>500</v>
      </c>
      <c r="F39" s="572" t="s">
        <v>75</v>
      </c>
      <c r="G39" s="589">
        <f>IF(F39="Jah",LOOKUP(C39,'HT-Tööle-koju (M3)'!$B$5:$B$44,'HT-Tööle-koju (M3)'!$C$5:$C$44),IF(F39="Ei","x "))</f>
        <v>0.18053987907914804</v>
      </c>
      <c r="H39" s="547"/>
      <c r="I39" s="574" t="str">
        <f>IF(F39="Jah", LOOKUP(C39,'HT-Tööle-koju (M3)'!$B$5:$B$44,'HT-Tööle-koju (M3)'!$E$5:$E$44),IF(F39= "Ei", " "))</f>
        <v>Bensiini- ja diiselmootoriga sõiduautode keskmine</v>
      </c>
      <c r="J39" s="549">
        <f t="shared" si="4"/>
        <v>90.269939539574011</v>
      </c>
      <c r="K39" s="549">
        <f t="shared" si="5"/>
        <v>9.0269939539574018E-2</v>
      </c>
      <c r="M39" s="587"/>
      <c r="N39" s="923"/>
      <c r="O39" s="924"/>
      <c r="P39" s="588"/>
      <c r="Q39" s="572" t="s">
        <v>75</v>
      </c>
      <c r="R39" s="589" t="e">
        <f>IF(Q39="Jah",LOOKUP(N39,'HT-Tööle-koju (M3)'!$B$5:$B$44,'HT-Tööle-koju (M3)'!$C$5:$C$44),IF(Q39="Ei","x "))</f>
        <v>#N/A</v>
      </c>
      <c r="S39" s="547"/>
      <c r="T39" s="574" t="e">
        <f>IF(Q39="Jah", LOOKUP(N39,'HT-Tööle-koju (M3)'!$B$5:$B$44,'HT-Tööle-koju (M3)'!$E$5:$E$44),IF(Q39= "Ei", " "))</f>
        <v>#N/A</v>
      </c>
      <c r="U39" s="549" t="e">
        <f t="shared" si="0"/>
        <v>#N/A</v>
      </c>
      <c r="V39" s="549" t="e">
        <f t="shared" si="1"/>
        <v>#N/A</v>
      </c>
      <c r="X39" s="587"/>
      <c r="Y39" s="923"/>
      <c r="Z39" s="924"/>
      <c r="AA39" s="588"/>
      <c r="AB39" s="572" t="s">
        <v>75</v>
      </c>
      <c r="AC39" s="589" t="e">
        <f>IF(AB39="Jah",LOOKUP(Y39,'HT-Tööle-koju (M3)'!$B$5:$B$44,'HT-Tööle-koju (M3)'!$C$5:$C$44),IF(AB39="Ei","x "))</f>
        <v>#N/A</v>
      </c>
      <c r="AD39" s="547"/>
      <c r="AE39" s="574" t="e">
        <f>IF(AB39="Jah", LOOKUP(Y39,'HT-Tööle-koju (M3)'!$B$5:$B$44,'HT-Tööle-koju (M3)'!$E$5:$E$44),IF(AB39= "Ei", " "))</f>
        <v>#N/A</v>
      </c>
      <c r="AF39" s="549" t="e">
        <f t="shared" si="2"/>
        <v>#N/A</v>
      </c>
      <c r="AG39" s="549" t="e">
        <f t="shared" si="3"/>
        <v>#N/A</v>
      </c>
    </row>
    <row r="40" spans="1:33">
      <c r="B40" s="590">
        <v>2</v>
      </c>
      <c r="C40" s="923" t="s">
        <v>2241</v>
      </c>
      <c r="D40" s="924"/>
      <c r="E40" s="588">
        <v>580</v>
      </c>
      <c r="F40" s="572" t="s">
        <v>75</v>
      </c>
      <c r="G40" s="589">
        <f>IF(F40="Jah",LOOKUP(C40,'HT-Tööle-koju (M3)'!$B$5:$B$44,'HT-Tööle-koju (M3)'!$C$5:$C$44),IF(F40="Ei","x "))</f>
        <v>0.12964175001153405</v>
      </c>
      <c r="H40" s="547"/>
      <c r="I40" s="574" t="str">
        <f>IF(F40="Jah", LOOKUP(C40,'HT-Tööle-koju (M3)'!$B$5:$B$44,'HT-Tööle-koju (M3)'!$E$5:$E$44),IF(F40= "Ei", " "))</f>
        <v>KHG inventuuri aruanne 2022, arvestatud 75% fossiilne kütus, 25% tavaelekter, Electric Vehicle Database (keskmine elektritarbimine: 0,2 kWh/km)</v>
      </c>
      <c r="J40" s="549">
        <f t="shared" si="4"/>
        <v>75.19221500668975</v>
      </c>
      <c r="K40" s="549">
        <f t="shared" si="5"/>
        <v>7.5192215006689753E-2</v>
      </c>
      <c r="M40" s="590"/>
      <c r="N40" s="923"/>
      <c r="O40" s="924"/>
      <c r="P40" s="588"/>
      <c r="Q40" s="572" t="s">
        <v>75</v>
      </c>
      <c r="R40" s="589" t="e">
        <f>IF(Q40="Jah",LOOKUP(N40,'HT-Tööle-koju (M3)'!$B$5:$B$44,'HT-Tööle-koju (M3)'!$C$5:$C$44),IF(Q40="Ei","x "))</f>
        <v>#N/A</v>
      </c>
      <c r="S40" s="547"/>
      <c r="T40" s="574" t="e">
        <f>IF(Q40="Jah", LOOKUP(N40,'HT-Tööle-koju (M3)'!$B$5:$B$44,'HT-Tööle-koju (M3)'!$E$5:$E$44),IF(Q40= "Ei", " "))</f>
        <v>#N/A</v>
      </c>
      <c r="U40" s="549" t="e">
        <f t="shared" si="0"/>
        <v>#N/A</v>
      </c>
      <c r="V40" s="549" t="e">
        <f t="shared" si="1"/>
        <v>#N/A</v>
      </c>
      <c r="X40" s="590"/>
      <c r="Y40" s="923"/>
      <c r="Z40" s="924"/>
      <c r="AA40" s="588"/>
      <c r="AB40" s="572" t="s">
        <v>75</v>
      </c>
      <c r="AC40" s="589" t="e">
        <f>IF(AB40="Jah",LOOKUP(Y40,'HT-Tööle-koju (M3)'!$B$5:$B$44,'HT-Tööle-koju (M3)'!$C$5:$C$44),IF(AB40="Ei","x "))</f>
        <v>#N/A</v>
      </c>
      <c r="AD40" s="547"/>
      <c r="AE40" s="574" t="e">
        <f>IF(AB40="Jah", LOOKUP(Y40,'HT-Tööle-koju (M3)'!$B$5:$B$44,'HT-Tööle-koju (M3)'!$E$5:$E$44),IF(AB40= "Ei", " "))</f>
        <v>#N/A</v>
      </c>
      <c r="AF40" s="549" t="e">
        <f t="shared" si="2"/>
        <v>#N/A</v>
      </c>
      <c r="AG40" s="549" t="e">
        <f t="shared" si="3"/>
        <v>#N/A</v>
      </c>
    </row>
    <row r="41" spans="1:33">
      <c r="B41" s="590"/>
      <c r="C41" s="923"/>
      <c r="D41" s="924"/>
      <c r="E41" s="588"/>
      <c r="F41" s="572" t="s">
        <v>75</v>
      </c>
      <c r="G41" s="589" t="e">
        <f>IF(F41="Jah",LOOKUP(C41,'HT-Tööle-koju (M3)'!$B$5:$B$44,'HT-Tööle-koju (M3)'!$C$5:$C$44),IF(F41="Ei","x "))</f>
        <v>#N/A</v>
      </c>
      <c r="H41" s="547"/>
      <c r="I41" s="574" t="e">
        <f>IF(F41="Jah", LOOKUP(C41,'HT-Tööle-koju (M3)'!$B$5:$B$44,'HT-Tööle-koju (M3)'!$E$5:$E$44),IF(F41= "Ei", " "))</f>
        <v>#N/A</v>
      </c>
      <c r="J41" s="549" t="e">
        <f t="shared" si="4"/>
        <v>#N/A</v>
      </c>
      <c r="K41" s="549" t="e">
        <f t="shared" si="5"/>
        <v>#N/A</v>
      </c>
      <c r="M41" s="590"/>
      <c r="N41" s="923"/>
      <c r="O41" s="924"/>
      <c r="P41" s="588"/>
      <c r="Q41" s="572" t="s">
        <v>75</v>
      </c>
      <c r="R41" s="589" t="e">
        <f>IF(Q41="Jah",LOOKUP(N41,'HT-Tööle-koju (M3)'!$B$5:$B$44,'HT-Tööle-koju (M3)'!$C$5:$C$44),IF(Q41="Ei","x "))</f>
        <v>#N/A</v>
      </c>
      <c r="S41" s="547"/>
      <c r="T41" s="574" t="e">
        <f>IF(Q41="Jah", LOOKUP(N41,'HT-Tööle-koju (M3)'!$B$5:$B$44,'HT-Tööle-koju (M3)'!$E$5:$E$44),IF(Q41= "Ei", " "))</f>
        <v>#N/A</v>
      </c>
      <c r="U41" s="549" t="e">
        <f t="shared" si="0"/>
        <v>#N/A</v>
      </c>
      <c r="V41" s="549" t="e">
        <f t="shared" si="1"/>
        <v>#N/A</v>
      </c>
      <c r="X41" s="590"/>
      <c r="Y41" s="923"/>
      <c r="Z41" s="924"/>
      <c r="AA41" s="588"/>
      <c r="AB41" s="572" t="s">
        <v>75</v>
      </c>
      <c r="AC41" s="589" t="e">
        <f>IF(AB41="Jah",LOOKUP(Y41,'HT-Tööle-koju (M3)'!$B$5:$B$44,'HT-Tööle-koju (M3)'!$C$5:$C$44),IF(AB41="Ei","x "))</f>
        <v>#N/A</v>
      </c>
      <c r="AD41" s="547"/>
      <c r="AE41" s="574" t="e">
        <f>IF(AB41="Jah", LOOKUP(Y41,'HT-Tööle-koju (M3)'!$B$5:$B$44,'HT-Tööle-koju (M3)'!$E$5:$E$44),IF(AB41= "Ei", " "))</f>
        <v>#N/A</v>
      </c>
      <c r="AF41" s="549" t="e">
        <f t="shared" si="2"/>
        <v>#N/A</v>
      </c>
      <c r="AG41" s="549" t="e">
        <f t="shared" si="3"/>
        <v>#N/A</v>
      </c>
    </row>
    <row r="42" spans="1:33">
      <c r="B42" s="590"/>
      <c r="C42" s="923"/>
      <c r="D42" s="924"/>
      <c r="E42" s="588"/>
      <c r="F42" s="572" t="s">
        <v>75</v>
      </c>
      <c r="G42" s="589" t="e">
        <f>IF(F42="Jah",LOOKUP(C42,'HT-Tööle-koju (M3)'!$B$5:$B$44,'HT-Tööle-koju (M3)'!$C$5:$C$44),IF(F42="Ei","x "))</f>
        <v>#N/A</v>
      </c>
      <c r="H42" s="547"/>
      <c r="I42" s="574" t="e">
        <f>IF(F42="Jah", LOOKUP(C42,'HT-Tööle-koju (M3)'!$B$5:$B$44,'HT-Tööle-koju (M3)'!$E$5:$E$44),IF(F42= "Ei", " "))</f>
        <v>#N/A</v>
      </c>
      <c r="J42" s="549" t="e">
        <f t="shared" si="4"/>
        <v>#N/A</v>
      </c>
      <c r="K42" s="549" t="e">
        <f t="shared" si="5"/>
        <v>#N/A</v>
      </c>
      <c r="M42" s="590"/>
      <c r="N42" s="923"/>
      <c r="O42" s="924"/>
      <c r="P42" s="588"/>
      <c r="Q42" s="572" t="s">
        <v>75</v>
      </c>
      <c r="R42" s="589" t="e">
        <f>IF(Q42="Jah",LOOKUP(N42,'HT-Tööle-koju (M3)'!$B$5:$B$44,'HT-Tööle-koju (M3)'!$C$5:$C$44),IF(Q42="Ei","x "))</f>
        <v>#N/A</v>
      </c>
      <c r="S42" s="547"/>
      <c r="T42" s="574" t="e">
        <f>IF(Q42="Jah", LOOKUP(N42,'HT-Tööle-koju (M3)'!$B$5:$B$44,'HT-Tööle-koju (M3)'!$E$5:$E$44),IF(Q42= "Ei", " "))</f>
        <v>#N/A</v>
      </c>
      <c r="U42" s="549" t="e">
        <f t="shared" si="0"/>
        <v>#N/A</v>
      </c>
      <c r="V42" s="549" t="e">
        <f t="shared" si="1"/>
        <v>#N/A</v>
      </c>
      <c r="X42" s="590"/>
      <c r="Y42" s="923"/>
      <c r="Z42" s="924"/>
      <c r="AA42" s="588"/>
      <c r="AB42" s="572" t="s">
        <v>75</v>
      </c>
      <c r="AC42" s="589" t="e">
        <f>IF(AB42="Jah",LOOKUP(Y42,'HT-Tööle-koju (M3)'!$B$5:$B$44,'HT-Tööle-koju (M3)'!$C$5:$C$44),IF(AB42="Ei","x "))</f>
        <v>#N/A</v>
      </c>
      <c r="AD42" s="547"/>
      <c r="AE42" s="574" t="e">
        <f>IF(AB42="Jah", LOOKUP(Y42,'HT-Tööle-koju (M3)'!$B$5:$B$44,'HT-Tööle-koju (M3)'!$E$5:$E$44),IF(AB42= "Ei", " "))</f>
        <v>#N/A</v>
      </c>
      <c r="AF42" s="549" t="e">
        <f t="shared" si="2"/>
        <v>#N/A</v>
      </c>
      <c r="AG42" s="549" t="e">
        <f t="shared" si="3"/>
        <v>#N/A</v>
      </c>
    </row>
    <row r="43" spans="1:33">
      <c r="B43" s="590"/>
      <c r="C43" s="923"/>
      <c r="D43" s="924"/>
      <c r="E43" s="588"/>
      <c r="F43" s="572" t="s">
        <v>75</v>
      </c>
      <c r="G43" s="589" t="e">
        <f>IF(F43="Jah",LOOKUP(C43,'HT-Tööle-koju (M3)'!$B$5:$B$44,'HT-Tööle-koju (M3)'!$C$5:$C$44),IF(F43="Ei","x "))</f>
        <v>#N/A</v>
      </c>
      <c r="H43" s="547"/>
      <c r="I43" s="574" t="e">
        <f>IF(F43="Jah", LOOKUP(C43,'HT-Tööle-koju (M3)'!$B$5:$B$44,'HT-Tööle-koju (M3)'!$E$5:$E$44),IF(F43= "Ei", " "))</f>
        <v>#N/A</v>
      </c>
      <c r="J43" s="549" t="e">
        <f t="shared" si="4"/>
        <v>#N/A</v>
      </c>
      <c r="K43" s="549" t="e">
        <f t="shared" si="5"/>
        <v>#N/A</v>
      </c>
      <c r="M43" s="590"/>
      <c r="N43" s="923"/>
      <c r="O43" s="924"/>
      <c r="P43" s="588"/>
      <c r="Q43" s="572" t="s">
        <v>75</v>
      </c>
      <c r="R43" s="589" t="e">
        <f>IF(Q43="Jah",LOOKUP(N43,'HT-Tööle-koju (M3)'!$B$5:$B$44,'HT-Tööle-koju (M3)'!$C$5:$C$44),IF(Q43="Ei","x "))</f>
        <v>#N/A</v>
      </c>
      <c r="S43" s="547"/>
      <c r="T43" s="574" t="e">
        <f>IF(Q43="Jah", LOOKUP(N43,'HT-Tööle-koju (M3)'!$B$5:$B$44,'HT-Tööle-koju (M3)'!$E$5:$E$44),IF(Q43= "Ei", " "))</f>
        <v>#N/A</v>
      </c>
      <c r="U43" s="549" t="e">
        <f t="shared" si="0"/>
        <v>#N/A</v>
      </c>
      <c r="V43" s="549" t="e">
        <f t="shared" si="1"/>
        <v>#N/A</v>
      </c>
      <c r="X43" s="590"/>
      <c r="Y43" s="923"/>
      <c r="Z43" s="924"/>
      <c r="AA43" s="588"/>
      <c r="AB43" s="572" t="s">
        <v>75</v>
      </c>
      <c r="AC43" s="589" t="e">
        <f>IF(AB43="Jah",LOOKUP(Y43,'HT-Tööle-koju (M3)'!$B$5:$B$44,'HT-Tööle-koju (M3)'!$C$5:$C$44),IF(AB43="Ei","x "))</f>
        <v>#N/A</v>
      </c>
      <c r="AD43" s="547"/>
      <c r="AE43" s="574" t="e">
        <f>IF(AB43="Jah", LOOKUP(Y43,'HT-Tööle-koju (M3)'!$B$5:$B$44,'HT-Tööle-koju (M3)'!$E$5:$E$44),IF(AB43= "Ei", " "))</f>
        <v>#N/A</v>
      </c>
      <c r="AF43" s="549" t="e">
        <f t="shared" si="2"/>
        <v>#N/A</v>
      </c>
      <c r="AG43" s="549" t="e">
        <f t="shared" si="3"/>
        <v>#N/A</v>
      </c>
    </row>
    <row r="44" spans="1:33" ht="15" customHeight="1">
      <c r="B44" s="590"/>
      <c r="C44" s="923"/>
      <c r="D44" s="924"/>
      <c r="E44" s="588"/>
      <c r="F44" s="572" t="s">
        <v>75</v>
      </c>
      <c r="G44" s="589" t="e">
        <f>IF(F44="Jah",LOOKUP(C44,'HT-Tööle-koju (M3)'!$B$5:$B$44,'HT-Tööle-koju (M3)'!$C$5:$C$44),IF(F44="Ei","x "))</f>
        <v>#N/A</v>
      </c>
      <c r="H44" s="547"/>
      <c r="I44" s="574" t="e">
        <f>IF(F44="Jah", LOOKUP(C44,'HT-Tööle-koju (M3)'!$B$5:$B$44,'HT-Tööle-koju (M3)'!$E$5:$E$44),IF(F44= "Ei", " "))</f>
        <v>#N/A</v>
      </c>
      <c r="J44" s="549" t="e">
        <f t="shared" si="4"/>
        <v>#N/A</v>
      </c>
      <c r="K44" s="549" t="e">
        <f t="shared" si="5"/>
        <v>#N/A</v>
      </c>
      <c r="M44" s="590"/>
      <c r="N44" s="923"/>
      <c r="O44" s="924"/>
      <c r="P44" s="588"/>
      <c r="Q44" s="572" t="s">
        <v>75</v>
      </c>
      <c r="R44" s="589" t="e">
        <f>IF(Q44="Jah",LOOKUP(N44,'HT-Tööle-koju (M3)'!$B$5:$B$44,'HT-Tööle-koju (M3)'!$C$5:$C$44),IF(Q44="Ei","x "))</f>
        <v>#N/A</v>
      </c>
      <c r="S44" s="547"/>
      <c r="T44" s="574" t="e">
        <f>IF(Q44="Jah", LOOKUP(N44,'HT-Tööle-koju (M3)'!$B$5:$B$44,'HT-Tööle-koju (M3)'!$E$5:$E$44),IF(Q44= "Ei", " "))</f>
        <v>#N/A</v>
      </c>
      <c r="U44" s="549" t="e">
        <f t="shared" si="0"/>
        <v>#N/A</v>
      </c>
      <c r="V44" s="549" t="e">
        <f t="shared" si="1"/>
        <v>#N/A</v>
      </c>
      <c r="X44" s="590"/>
      <c r="Y44" s="923"/>
      <c r="Z44" s="924"/>
      <c r="AA44" s="588"/>
      <c r="AB44" s="572" t="s">
        <v>75</v>
      </c>
      <c r="AC44" s="589" t="e">
        <f>IF(AB44="Jah",LOOKUP(Y44,'HT-Tööle-koju (M3)'!$B$5:$B$44,'HT-Tööle-koju (M3)'!$C$5:$C$44),IF(AB44="Ei","x "))</f>
        <v>#N/A</v>
      </c>
      <c r="AD44" s="547"/>
      <c r="AE44" s="574" t="e">
        <f>IF(AB44="Jah", LOOKUP(Y44,'HT-Tööle-koju (M3)'!$B$5:$B$44,'HT-Tööle-koju (M3)'!$E$5:$E$44),IF(AB44= "Ei", " "))</f>
        <v>#N/A</v>
      </c>
      <c r="AF44" s="549" t="e">
        <f t="shared" si="2"/>
        <v>#N/A</v>
      </c>
      <c r="AG44" s="549" t="e">
        <f t="shared" si="3"/>
        <v>#N/A</v>
      </c>
    </row>
    <row r="45" spans="1:33" ht="15" customHeight="1">
      <c r="B45" s="590"/>
      <c r="C45" s="923"/>
      <c r="D45" s="924"/>
      <c r="E45" s="588"/>
      <c r="F45" s="572" t="s">
        <v>75</v>
      </c>
      <c r="G45" s="589" t="e">
        <f>IF(F45="Jah",LOOKUP(C45,'HT-Tööle-koju (M3)'!$B$5:$B$44,'HT-Tööle-koju (M3)'!$C$5:$C$44),IF(F45="Ei","x "))</f>
        <v>#N/A</v>
      </c>
      <c r="H45" s="547"/>
      <c r="I45" s="574" t="e">
        <f>IF(F45="Jah", LOOKUP(C45,'HT-Tööle-koju (M3)'!$B$5:$B$44,'HT-Tööle-koju (M3)'!$E$5:$E$44),IF(F45= "Ei", " "))</f>
        <v>#N/A</v>
      </c>
      <c r="J45" s="549" t="e">
        <f t="shared" si="4"/>
        <v>#N/A</v>
      </c>
      <c r="K45" s="549" t="e">
        <f t="shared" si="5"/>
        <v>#N/A</v>
      </c>
      <c r="M45" s="590"/>
      <c r="N45" s="923"/>
      <c r="O45" s="924"/>
      <c r="P45" s="588"/>
      <c r="Q45" s="572" t="s">
        <v>75</v>
      </c>
      <c r="R45" s="589" t="e">
        <f>IF(Q45="Jah",LOOKUP(N45,'HT-Tööle-koju (M3)'!$B$5:$B$44,'HT-Tööle-koju (M3)'!$C$5:$C$44),IF(Q45="Ei","x "))</f>
        <v>#N/A</v>
      </c>
      <c r="S45" s="547"/>
      <c r="T45" s="574" t="e">
        <f>IF(Q45="Jah", LOOKUP(N45,'HT-Tööle-koju (M3)'!$B$5:$B$44,'HT-Tööle-koju (M3)'!$E$5:$E$44),IF(Q45= "Ei", " "))</f>
        <v>#N/A</v>
      </c>
      <c r="U45" s="549" t="e">
        <f t="shared" si="0"/>
        <v>#N/A</v>
      </c>
      <c r="V45" s="549" t="e">
        <f t="shared" si="1"/>
        <v>#N/A</v>
      </c>
      <c r="X45" s="590"/>
      <c r="Y45" s="923"/>
      <c r="Z45" s="924"/>
      <c r="AA45" s="588"/>
      <c r="AB45" s="572" t="s">
        <v>75</v>
      </c>
      <c r="AC45" s="589" t="e">
        <f>IF(AB45="Jah",LOOKUP(Y45,'HT-Tööle-koju (M3)'!$B$5:$B$44,'HT-Tööle-koju (M3)'!$C$5:$C$44),IF(AB45="Ei","x "))</f>
        <v>#N/A</v>
      </c>
      <c r="AD45" s="547"/>
      <c r="AE45" s="574" t="e">
        <f>IF(AB45="Jah", LOOKUP(Y45,'HT-Tööle-koju (M3)'!$B$5:$B$44,'HT-Tööle-koju (M3)'!$E$5:$E$44),IF(AB45= "Ei", " "))</f>
        <v>#N/A</v>
      </c>
      <c r="AF45" s="549" t="e">
        <f t="shared" si="2"/>
        <v>#N/A</v>
      </c>
      <c r="AG45" s="549" t="e">
        <f t="shared" si="3"/>
        <v>#N/A</v>
      </c>
    </row>
    <row r="46" spans="1:33" ht="15" customHeight="1">
      <c r="B46" s="590"/>
      <c r="C46" s="923"/>
      <c r="D46" s="924"/>
      <c r="E46" s="588"/>
      <c r="F46" s="572" t="s">
        <v>75</v>
      </c>
      <c r="G46" s="589" t="e">
        <f>IF(F46="Jah",LOOKUP(C46,'HT-Tööle-koju (M3)'!$B$5:$B$44,'HT-Tööle-koju (M3)'!$C$5:$C$44),IF(F46="Ei","x "))</f>
        <v>#N/A</v>
      </c>
      <c r="H46" s="547"/>
      <c r="I46" s="574" t="e">
        <f>IF(F46="Jah", LOOKUP(C46,'HT-Tööle-koju (M3)'!$B$5:$B$44,'HT-Tööle-koju (M3)'!$E$5:$E$44),IF(F46= "Ei", " "))</f>
        <v>#N/A</v>
      </c>
      <c r="J46" s="549" t="e">
        <f t="shared" si="4"/>
        <v>#N/A</v>
      </c>
      <c r="K46" s="549" t="e">
        <f t="shared" si="5"/>
        <v>#N/A</v>
      </c>
      <c r="M46" s="590"/>
      <c r="N46" s="923"/>
      <c r="O46" s="924"/>
      <c r="P46" s="588"/>
      <c r="Q46" s="572" t="s">
        <v>75</v>
      </c>
      <c r="R46" s="589" t="e">
        <f>IF(Q46="Jah",LOOKUP(N46,'HT-Tööle-koju (M3)'!$B$5:$B$44,'HT-Tööle-koju (M3)'!$C$5:$C$44),IF(Q46="Ei","x "))</f>
        <v>#N/A</v>
      </c>
      <c r="S46" s="547"/>
      <c r="T46" s="574" t="e">
        <f>IF(Q46="Jah", LOOKUP(N46,'HT-Tööle-koju (M3)'!$B$5:$B$44,'HT-Tööle-koju (M3)'!$E$5:$E$44),IF(Q46= "Ei", " "))</f>
        <v>#N/A</v>
      </c>
      <c r="U46" s="549" t="e">
        <f t="shared" si="0"/>
        <v>#N/A</v>
      </c>
      <c r="V46" s="549" t="e">
        <f t="shared" si="1"/>
        <v>#N/A</v>
      </c>
      <c r="X46" s="590"/>
      <c r="Y46" s="923"/>
      <c r="Z46" s="924"/>
      <c r="AA46" s="588"/>
      <c r="AB46" s="572" t="s">
        <v>75</v>
      </c>
      <c r="AC46" s="589" t="e">
        <f>IF(AB46="Jah",LOOKUP(Y46,'HT-Tööle-koju (M3)'!$B$5:$B$44,'HT-Tööle-koju (M3)'!$C$5:$C$44),IF(AB46="Ei","x "))</f>
        <v>#N/A</v>
      </c>
      <c r="AD46" s="547"/>
      <c r="AE46" s="574" t="e">
        <f>IF(AB46="Jah", LOOKUP(Y46,'HT-Tööle-koju (M3)'!$B$5:$B$44,'HT-Tööle-koju (M3)'!$E$5:$E$44),IF(AB46= "Ei", " "))</f>
        <v>#N/A</v>
      </c>
      <c r="AF46" s="549" t="e">
        <f t="shared" si="2"/>
        <v>#N/A</v>
      </c>
      <c r="AG46" s="549" t="e">
        <f t="shared" si="3"/>
        <v>#N/A</v>
      </c>
    </row>
    <row r="47" spans="1:33">
      <c r="B47" s="536"/>
      <c r="C47" s="537"/>
      <c r="D47" s="537"/>
      <c r="E47" s="537"/>
      <c r="F47" s="591"/>
      <c r="G47" s="591"/>
      <c r="H47" s="591"/>
      <c r="I47" s="592" t="s">
        <v>1592</v>
      </c>
      <c r="J47" s="593">
        <f>SUMIF(J37:J46,"&lt;&gt;#N/A")</f>
        <v>316.86120379930884</v>
      </c>
      <c r="K47" s="594">
        <f>SUMIF(K37:K46,"&lt;&gt;#N/A")</f>
        <v>0.31686120379930882</v>
      </c>
      <c r="M47" s="536"/>
      <c r="N47" s="537"/>
      <c r="O47" s="537"/>
      <c r="P47" s="537"/>
      <c r="Q47" s="591"/>
      <c r="R47" s="591"/>
      <c r="S47" s="591"/>
      <c r="T47" s="592" t="s">
        <v>1592</v>
      </c>
      <c r="U47" s="593">
        <f>SUMIF(U37:U46,"&lt;&gt;#N/A")</f>
        <v>826.76625235328061</v>
      </c>
      <c r="V47" s="594">
        <f>SUMIF(V37:V46,"&lt;&gt;#N/A")</f>
        <v>0.82676625235328061</v>
      </c>
      <c r="X47" s="536"/>
      <c r="Y47" s="537"/>
      <c r="Z47" s="537"/>
      <c r="AA47" s="537"/>
      <c r="AB47" s="591"/>
      <c r="AC47" s="591"/>
      <c r="AD47" s="591"/>
      <c r="AE47" s="592" t="s">
        <v>1592</v>
      </c>
      <c r="AF47" s="593">
        <f>SUMIF(AF37:AF46,"&lt;&gt;#N/A")</f>
        <v>0</v>
      </c>
      <c r="AG47" s="594">
        <f>SUMIF(AG37:AG46,"&lt;&gt;#N/A")</f>
        <v>0</v>
      </c>
    </row>
    <row r="50" spans="1:33" ht="14">
      <c r="A50" s="297"/>
      <c r="B50" s="308" t="s">
        <v>1678</v>
      </c>
      <c r="C50" s="308"/>
      <c r="D50" s="320"/>
      <c r="E50" s="321"/>
      <c r="F50" s="568"/>
      <c r="G50" s="568"/>
      <c r="H50" s="568"/>
      <c r="I50" s="586"/>
      <c r="J50" s="569"/>
      <c r="K50" s="570"/>
      <c r="M50" s="308" t="s">
        <v>1678</v>
      </c>
      <c r="N50" s="308"/>
      <c r="O50" s="320"/>
      <c r="P50" s="321"/>
      <c r="Q50" s="568"/>
      <c r="R50" s="568"/>
      <c r="S50" s="568"/>
      <c r="T50" s="586"/>
      <c r="U50" s="569"/>
      <c r="V50" s="570"/>
      <c r="X50" s="308" t="s">
        <v>1678</v>
      </c>
      <c r="Y50" s="308"/>
      <c r="Z50" s="320"/>
      <c r="AA50" s="321"/>
      <c r="AB50" s="568"/>
      <c r="AC50" s="568"/>
      <c r="AD50" s="568"/>
      <c r="AE50" s="586"/>
      <c r="AF50" s="569"/>
      <c r="AG50" s="570"/>
    </row>
    <row r="51" spans="1:33" s="395" customFormat="1" ht="15" customHeight="1">
      <c r="A51" s="297"/>
      <c r="B51" s="308" t="s">
        <v>1871</v>
      </c>
      <c r="C51" s="308"/>
      <c r="D51" s="320"/>
      <c r="E51" s="321"/>
      <c r="F51" s="568"/>
      <c r="G51" s="568"/>
      <c r="H51" s="568"/>
      <c r="I51" s="586"/>
      <c r="J51" s="569"/>
      <c r="K51" s="595"/>
      <c r="L51" s="297"/>
      <c r="M51" s="308" t="s">
        <v>1871</v>
      </c>
      <c r="N51" s="308"/>
      <c r="O51" s="320"/>
      <c r="P51" s="321"/>
      <c r="Q51" s="568"/>
      <c r="R51" s="568"/>
      <c r="S51" s="568"/>
      <c r="T51" s="586"/>
      <c r="U51" s="569"/>
      <c r="V51" s="595"/>
      <c r="X51" s="308" t="s">
        <v>1871</v>
      </c>
      <c r="Y51" s="308"/>
      <c r="Z51" s="320"/>
      <c r="AA51" s="321"/>
      <c r="AB51" s="568"/>
      <c r="AC51" s="568"/>
      <c r="AD51" s="568"/>
      <c r="AE51" s="586"/>
      <c r="AF51" s="569"/>
      <c r="AG51" s="570"/>
    </row>
    <row r="52" spans="1:33" ht="15" customHeight="1">
      <c r="B52" s="925" t="s">
        <v>57</v>
      </c>
      <c r="C52" s="908" t="s">
        <v>1502</v>
      </c>
      <c r="D52" s="909"/>
      <c r="E52" s="925" t="s">
        <v>112</v>
      </c>
      <c r="F52" s="914" t="s">
        <v>68</v>
      </c>
      <c r="G52" s="914" t="s">
        <v>69</v>
      </c>
      <c r="H52" s="914" t="s">
        <v>70</v>
      </c>
      <c r="I52" s="914" t="s">
        <v>71</v>
      </c>
      <c r="J52" s="916" t="s">
        <v>86</v>
      </c>
      <c r="K52" s="917"/>
      <c r="M52" s="925" t="s">
        <v>57</v>
      </c>
      <c r="N52" s="908" t="s">
        <v>1502</v>
      </c>
      <c r="O52" s="909"/>
      <c r="P52" s="925" t="s">
        <v>112</v>
      </c>
      <c r="Q52" s="914" t="s">
        <v>68</v>
      </c>
      <c r="R52" s="914" t="s">
        <v>69</v>
      </c>
      <c r="S52" s="914" t="s">
        <v>70</v>
      </c>
      <c r="T52" s="914" t="s">
        <v>71</v>
      </c>
      <c r="U52" s="916" t="s">
        <v>86</v>
      </c>
      <c r="V52" s="917"/>
      <c r="X52" s="925" t="s">
        <v>57</v>
      </c>
      <c r="Y52" s="908" t="s">
        <v>1502</v>
      </c>
      <c r="Z52" s="909"/>
      <c r="AA52" s="925" t="s">
        <v>112</v>
      </c>
      <c r="AB52" s="914" t="s">
        <v>68</v>
      </c>
      <c r="AC52" s="914" t="s">
        <v>69</v>
      </c>
      <c r="AD52" s="914" t="s">
        <v>70</v>
      </c>
      <c r="AE52" s="914" t="s">
        <v>71</v>
      </c>
      <c r="AF52" s="916" t="s">
        <v>86</v>
      </c>
      <c r="AG52" s="917"/>
    </row>
    <row r="53" spans="1:33" ht="15" customHeight="1">
      <c r="B53" s="926"/>
      <c r="C53" s="928"/>
      <c r="D53" s="929"/>
      <c r="E53" s="926"/>
      <c r="F53" s="915"/>
      <c r="G53" s="915"/>
      <c r="H53" s="915"/>
      <c r="I53" s="915"/>
      <c r="J53" s="918"/>
      <c r="K53" s="919"/>
      <c r="M53" s="926"/>
      <c r="N53" s="928"/>
      <c r="O53" s="929"/>
      <c r="P53" s="926"/>
      <c r="Q53" s="915"/>
      <c r="R53" s="915"/>
      <c r="S53" s="915"/>
      <c r="T53" s="915"/>
      <c r="U53" s="918"/>
      <c r="V53" s="919"/>
      <c r="X53" s="926"/>
      <c r="Y53" s="928"/>
      <c r="Z53" s="929"/>
      <c r="AA53" s="926"/>
      <c r="AB53" s="915"/>
      <c r="AC53" s="915"/>
      <c r="AD53" s="915"/>
      <c r="AE53" s="915"/>
      <c r="AF53" s="918"/>
      <c r="AG53" s="919"/>
    </row>
    <row r="54" spans="1:33" ht="15" customHeight="1">
      <c r="B54" s="926"/>
      <c r="C54" s="928"/>
      <c r="D54" s="929"/>
      <c r="E54" s="926"/>
      <c r="F54" s="922"/>
      <c r="G54" s="922"/>
      <c r="H54" s="922"/>
      <c r="I54" s="915"/>
      <c r="J54" s="920"/>
      <c r="K54" s="921"/>
      <c r="M54" s="926"/>
      <c r="N54" s="928"/>
      <c r="O54" s="929"/>
      <c r="P54" s="926"/>
      <c r="Q54" s="922"/>
      <c r="R54" s="922"/>
      <c r="S54" s="922"/>
      <c r="T54" s="915"/>
      <c r="U54" s="920"/>
      <c r="V54" s="921"/>
      <c r="X54" s="926"/>
      <c r="Y54" s="928"/>
      <c r="Z54" s="929"/>
      <c r="AA54" s="926"/>
      <c r="AB54" s="922"/>
      <c r="AC54" s="922"/>
      <c r="AD54" s="922"/>
      <c r="AE54" s="915"/>
      <c r="AF54" s="920"/>
      <c r="AG54" s="921"/>
    </row>
    <row r="55" spans="1:33" ht="15" customHeight="1">
      <c r="B55" s="927"/>
      <c r="C55" s="910"/>
      <c r="D55" s="911"/>
      <c r="E55" s="927"/>
      <c r="F55" s="571" t="s">
        <v>73</v>
      </c>
      <c r="G55" s="947" t="s">
        <v>2099</v>
      </c>
      <c r="H55" s="948"/>
      <c r="I55" s="922"/>
      <c r="J55" s="545" t="s">
        <v>2085</v>
      </c>
      <c r="K55" s="545" t="s">
        <v>2086</v>
      </c>
      <c r="M55" s="927"/>
      <c r="N55" s="910"/>
      <c r="O55" s="911"/>
      <c r="P55" s="927"/>
      <c r="Q55" s="571" t="s">
        <v>73</v>
      </c>
      <c r="R55" s="947" t="s">
        <v>2099</v>
      </c>
      <c r="S55" s="948"/>
      <c r="T55" s="922"/>
      <c r="U55" s="545" t="s">
        <v>2085</v>
      </c>
      <c r="V55" s="545" t="s">
        <v>2086</v>
      </c>
      <c r="X55" s="927"/>
      <c r="Y55" s="910"/>
      <c r="Z55" s="911"/>
      <c r="AA55" s="927"/>
      <c r="AB55" s="571" t="s">
        <v>73</v>
      </c>
      <c r="AC55" s="947" t="s">
        <v>2099</v>
      </c>
      <c r="AD55" s="948"/>
      <c r="AE55" s="922"/>
      <c r="AF55" s="545" t="s">
        <v>2085</v>
      </c>
      <c r="AG55" s="545" t="s">
        <v>2086</v>
      </c>
    </row>
    <row r="56" spans="1:33" ht="15" customHeight="1">
      <c r="A56" s="395"/>
      <c r="B56" s="596">
        <v>1</v>
      </c>
      <c r="C56" s="923" t="s">
        <v>1505</v>
      </c>
      <c r="D56" s="924"/>
      <c r="E56" s="588">
        <v>1000</v>
      </c>
      <c r="F56" s="572" t="s">
        <v>75</v>
      </c>
      <c r="G56" s="573">
        <f>IF(F56="Jah",LOOKUP(C56,'HT-Tööle-koju (M3)'!$B$48:$B$55,'HT-Tööle-koju (M3)'!$C$48:$C$55),IF(F56="Ei","x "))</f>
        <v>0.13962124099556508</v>
      </c>
      <c r="H56" s="547"/>
      <c r="I56" s="574" t="str">
        <f>IF(F56="Jah", LOOKUP(C56,'HT-Tööle-koju (M3)'!$B$48:$B$55,'HT-Tööle-koju (M3)'!$E$48:$E$55),IF(F56= "Ei", " "))</f>
        <v>Arvutatud Tallinna linnaliinibusside (diisel- ja gaasibusside keskmine) andmete põhjal (AS TLT)</v>
      </c>
      <c r="J56" s="597">
        <f>IF(F56="Jah",E56*(G56), IF(F56="Ei",E56*H56))</f>
        <v>139.62124099556507</v>
      </c>
      <c r="K56" s="598">
        <f>J56*0.001</f>
        <v>0.13962124099556508</v>
      </c>
      <c r="M56" s="596"/>
      <c r="N56" s="923"/>
      <c r="O56" s="924"/>
      <c r="P56" s="588"/>
      <c r="Q56" s="572" t="s">
        <v>75</v>
      </c>
      <c r="R56" s="573" t="e">
        <f>IF(Q56="Jah",LOOKUP(N56,'HT-Tööle-koju (M3)'!$B$48:$B$55,'HT-Tööle-koju (M3)'!$C$48:$C$55),IF(Q56="Ei","x "))</f>
        <v>#N/A</v>
      </c>
      <c r="S56" s="547"/>
      <c r="T56" s="574" t="e">
        <f>IF(Q56="Jah", LOOKUP(N56,'HT-Tööle-koju (M3)'!$B$48:$B$55,'HT-Tööle-koju (M3)'!$E$48:$E$55),IF(Q56= "Ei", " "))</f>
        <v>#N/A</v>
      </c>
      <c r="U56" s="597" t="e">
        <f t="shared" ref="U56:U65" si="6">IF(Q56="Jah",P56*(R56), IF(Q56="Ei",P56*S56))</f>
        <v>#N/A</v>
      </c>
      <c r="V56" s="598" t="e">
        <f t="shared" ref="V56:V65" si="7">U56*0.001</f>
        <v>#N/A</v>
      </c>
      <c r="X56" s="596"/>
      <c r="Y56" s="923"/>
      <c r="Z56" s="924"/>
      <c r="AA56" s="588"/>
      <c r="AB56" s="572" t="s">
        <v>75</v>
      </c>
      <c r="AC56" s="573" t="e">
        <f>IF(AB56="Jah",LOOKUP(Y56,'HT-Tööle-koju (M3)'!$B$48:$B$55,'HT-Tööle-koju (M3)'!$C$48:$C$55),IF(AB56="Ei","x "))</f>
        <v>#N/A</v>
      </c>
      <c r="AD56" s="547"/>
      <c r="AE56" s="574" t="e">
        <f>IF(AB56="Jah", LOOKUP(Y56,'HT-Tööle-koju (M3)'!$B$48:$B$55,'HT-Tööle-koju (M3)'!$E$48:$E$55),IF(AB56= "Ei", " "))</f>
        <v>#N/A</v>
      </c>
      <c r="AF56" s="597" t="e">
        <f t="shared" ref="AF56:AF65" si="8">IF(AB56="Jah",AA56*(AC56), IF(AB56="Ei",AA56*AD56))</f>
        <v>#N/A</v>
      </c>
      <c r="AG56" s="598" t="e">
        <f t="shared" ref="AG56:AG65" si="9">AF56*0.001</f>
        <v>#N/A</v>
      </c>
    </row>
    <row r="57" spans="1:33" ht="15" customHeight="1">
      <c r="B57" s="596">
        <v>1</v>
      </c>
      <c r="C57" s="923" t="s">
        <v>373</v>
      </c>
      <c r="D57" s="924"/>
      <c r="E57" s="588">
        <v>200</v>
      </c>
      <c r="F57" s="572" t="s">
        <v>75</v>
      </c>
      <c r="G57" s="573">
        <f>IF(F57="Jah",LOOKUP(C57,'HT-Tööle-koju (M3)'!$B$48:$B$55,'HT-Tööle-koju (M3)'!$C$48:$C$55),IF(F57="Ei","x "))</f>
        <v>0</v>
      </c>
      <c r="H57" s="547"/>
      <c r="I57" s="574" t="str">
        <f>IF(F57="Jah", LOOKUP(C57,'HT-Tööle-koju (M3)'!$B$48:$B$55,'HT-Tööle-koju (M3)'!$E$48:$E$55),IF(F57= "Ei", " "))</f>
        <v xml:space="preserve">CoM 2017 </v>
      </c>
      <c r="J57" s="597">
        <f t="shared" ref="J57:J65" si="10">IF(F57="Jah",E57*(G57), IF(F57="Ei",E57*H57))</f>
        <v>0</v>
      </c>
      <c r="K57" s="598">
        <f t="shared" ref="K57:K65" si="11">J57*0.001</f>
        <v>0</v>
      </c>
      <c r="M57" s="596"/>
      <c r="N57" s="923"/>
      <c r="O57" s="924"/>
      <c r="P57" s="588"/>
      <c r="Q57" s="572" t="s">
        <v>75</v>
      </c>
      <c r="R57" s="573" t="e">
        <f>IF(Q57="Jah",LOOKUP(N57,'HT-Tööle-koju (M3)'!$B$48:$B$55,'HT-Tööle-koju (M3)'!$C$48:$C$55),IF(Q57="Ei","x "))</f>
        <v>#N/A</v>
      </c>
      <c r="S57" s="547"/>
      <c r="T57" s="574" t="e">
        <f>IF(Q57="Jah", LOOKUP(N57,'HT-Tööle-koju (M3)'!$B$48:$B$55,'HT-Tööle-koju (M3)'!$E$48:$E$55),IF(Q57= "Ei", " "))</f>
        <v>#N/A</v>
      </c>
      <c r="U57" s="597" t="e">
        <f t="shared" si="6"/>
        <v>#N/A</v>
      </c>
      <c r="V57" s="598" t="e">
        <f t="shared" si="7"/>
        <v>#N/A</v>
      </c>
      <c r="X57" s="596"/>
      <c r="Y57" s="923"/>
      <c r="Z57" s="924"/>
      <c r="AA57" s="588"/>
      <c r="AB57" s="572" t="s">
        <v>75</v>
      </c>
      <c r="AC57" s="573" t="e">
        <f>IF(AB57="Jah",LOOKUP(Y57,'HT-Tööle-koju (M3)'!$B$48:$B$55,'HT-Tööle-koju (M3)'!$C$48:$C$55),IF(AB57="Ei","x "))</f>
        <v>#N/A</v>
      </c>
      <c r="AD57" s="547"/>
      <c r="AE57" s="574" t="e">
        <f>IF(AB57="Jah", LOOKUP(Y57,'HT-Tööle-koju (M3)'!$B$48:$B$55,'HT-Tööle-koju (M3)'!$E$48:$E$55),IF(AB57= "Ei", " "))</f>
        <v>#N/A</v>
      </c>
      <c r="AF57" s="597" t="e">
        <f t="shared" si="8"/>
        <v>#N/A</v>
      </c>
      <c r="AG57" s="598" t="e">
        <f t="shared" si="9"/>
        <v>#N/A</v>
      </c>
    </row>
    <row r="58" spans="1:33">
      <c r="B58" s="596">
        <v>2</v>
      </c>
      <c r="C58" s="923" t="s">
        <v>1503</v>
      </c>
      <c r="D58" s="924"/>
      <c r="E58" s="588">
        <v>1000</v>
      </c>
      <c r="F58" s="572" t="s">
        <v>75</v>
      </c>
      <c r="G58" s="573">
        <f>IF(F58="Jah",LOOKUP(C58,'HT-Tööle-koju (M3)'!$B$48:$B$55,'HT-Tööle-koju (M3)'!$C$48:$C$55),IF(F58="Ei","x "))</f>
        <v>0.10637694721086439</v>
      </c>
      <c r="H58" s="547"/>
      <c r="I58" s="574" t="str">
        <f>IF(F58="Jah", LOOKUP(C58,'HT-Tööle-koju (M3)'!$B$48:$B$55,'HT-Tööle-koju (M3)'!$E$48:$E$55),IF(F58= "Ei", " "))</f>
        <v>Bussiteenuse pakkujad, Statistikaamet, KHG inventuuri aruanne 2022 (diiselbussi eriheitetegur)</v>
      </c>
      <c r="J58" s="597">
        <f t="shared" si="10"/>
        <v>106.3769472108644</v>
      </c>
      <c r="K58" s="598">
        <f t="shared" si="11"/>
        <v>0.10637694721086441</v>
      </c>
      <c r="M58" s="596"/>
      <c r="N58" s="923"/>
      <c r="O58" s="924"/>
      <c r="P58" s="588"/>
      <c r="Q58" s="572" t="s">
        <v>75</v>
      </c>
      <c r="R58" s="573" t="e">
        <f>IF(Q58="Jah",LOOKUP(N58,'HT-Tööle-koju (M3)'!$B$48:$B$55,'HT-Tööle-koju (M3)'!$C$48:$C$55),IF(Q58="Ei","x "))</f>
        <v>#N/A</v>
      </c>
      <c r="S58" s="547"/>
      <c r="T58" s="574" t="e">
        <f>IF(Q58="Jah", LOOKUP(N58,'HT-Tööle-koju (M3)'!$B$48:$B$55,'HT-Tööle-koju (M3)'!$E$48:$E$55),IF(Q58= "Ei", " "))</f>
        <v>#N/A</v>
      </c>
      <c r="U58" s="597" t="e">
        <f t="shared" si="6"/>
        <v>#N/A</v>
      </c>
      <c r="V58" s="598" t="e">
        <f t="shared" si="7"/>
        <v>#N/A</v>
      </c>
      <c r="X58" s="596"/>
      <c r="Y58" s="923"/>
      <c r="Z58" s="924"/>
      <c r="AA58" s="588"/>
      <c r="AB58" s="572" t="s">
        <v>75</v>
      </c>
      <c r="AC58" s="573" t="e">
        <f>IF(AB58="Jah",LOOKUP(Y58,'HT-Tööle-koju (M3)'!$B$48:$B$55,'HT-Tööle-koju (M3)'!$C$48:$C$55),IF(AB58="Ei","x "))</f>
        <v>#N/A</v>
      </c>
      <c r="AD58" s="547"/>
      <c r="AE58" s="574" t="e">
        <f>IF(AB58="Jah", LOOKUP(Y58,'HT-Tööle-koju (M3)'!$B$48:$B$55,'HT-Tööle-koju (M3)'!$E$48:$E$55),IF(AB58= "Ei", " "))</f>
        <v>#N/A</v>
      </c>
      <c r="AF58" s="597" t="e">
        <f t="shared" si="8"/>
        <v>#N/A</v>
      </c>
      <c r="AG58" s="598" t="e">
        <f t="shared" si="9"/>
        <v>#N/A</v>
      </c>
    </row>
    <row r="59" spans="1:33">
      <c r="B59" s="599"/>
      <c r="C59" s="923"/>
      <c r="D59" s="924"/>
      <c r="E59" s="588"/>
      <c r="F59" s="572" t="s">
        <v>75</v>
      </c>
      <c r="G59" s="573" t="e">
        <f>IF(F59="Jah",LOOKUP(C59,'HT-Tööle-koju (M3)'!$B$48:$B$55,'HT-Tööle-koju (M3)'!$C$48:$C$55),IF(F59="Ei","x "))</f>
        <v>#N/A</v>
      </c>
      <c r="H59" s="547"/>
      <c r="I59" s="574" t="e">
        <f>IF(F59="Jah", LOOKUP(C59,'HT-Tööle-koju (M3)'!$B$48:$B$55,'HT-Tööle-koju (M3)'!$E$48:$E$55),IF(F59= "Ei", " "))</f>
        <v>#N/A</v>
      </c>
      <c r="J59" s="597" t="e">
        <f t="shared" si="10"/>
        <v>#N/A</v>
      </c>
      <c r="K59" s="598" t="e">
        <f t="shared" si="11"/>
        <v>#N/A</v>
      </c>
      <c r="M59" s="599"/>
      <c r="N59" s="923"/>
      <c r="O59" s="924"/>
      <c r="P59" s="588"/>
      <c r="Q59" s="572" t="s">
        <v>75</v>
      </c>
      <c r="R59" s="573" t="e">
        <f>IF(Q59="Jah",LOOKUP(N59,'HT-Tööle-koju (M3)'!$B$48:$B$55,'HT-Tööle-koju (M3)'!$C$48:$C$55),IF(Q59="Ei","x "))</f>
        <v>#N/A</v>
      </c>
      <c r="S59" s="547"/>
      <c r="T59" s="574" t="e">
        <f>IF(Q59="Jah", LOOKUP(N59,'HT-Tööle-koju (M3)'!$B$48:$B$55,'HT-Tööle-koju (M3)'!$E$48:$E$55),IF(Q59= "Ei", " "))</f>
        <v>#N/A</v>
      </c>
      <c r="U59" s="597" t="e">
        <f t="shared" si="6"/>
        <v>#N/A</v>
      </c>
      <c r="V59" s="598" t="e">
        <f t="shared" si="7"/>
        <v>#N/A</v>
      </c>
      <c r="X59" s="599"/>
      <c r="Y59" s="923"/>
      <c r="Z59" s="924"/>
      <c r="AA59" s="588"/>
      <c r="AB59" s="572" t="s">
        <v>75</v>
      </c>
      <c r="AC59" s="573" t="e">
        <f>IF(AB59="Jah",LOOKUP(Y59,'HT-Tööle-koju (M3)'!$B$48:$B$55,'HT-Tööle-koju (M3)'!$C$48:$C$55),IF(AB59="Ei","x "))</f>
        <v>#N/A</v>
      </c>
      <c r="AD59" s="547"/>
      <c r="AE59" s="574" t="e">
        <f>IF(AB59="Jah", LOOKUP(Y59,'HT-Tööle-koju (M3)'!$B$48:$B$55,'HT-Tööle-koju (M3)'!$E$48:$E$55),IF(AB59= "Ei", " "))</f>
        <v>#N/A</v>
      </c>
      <c r="AF59" s="597" t="e">
        <f t="shared" si="8"/>
        <v>#N/A</v>
      </c>
      <c r="AG59" s="598" t="e">
        <f t="shared" si="9"/>
        <v>#N/A</v>
      </c>
    </row>
    <row r="60" spans="1:33">
      <c r="B60" s="599"/>
      <c r="C60" s="923"/>
      <c r="D60" s="924"/>
      <c r="E60" s="588"/>
      <c r="F60" s="572" t="s">
        <v>75</v>
      </c>
      <c r="G60" s="573" t="e">
        <f>IF(F60="Jah",LOOKUP(C60,'HT-Tööle-koju (M3)'!$B$48:$B$55,'HT-Tööle-koju (M3)'!$C$48:$C$55),IF(F60="Ei","x "))</f>
        <v>#N/A</v>
      </c>
      <c r="H60" s="547"/>
      <c r="I60" s="574" t="e">
        <f>IF(F60="Jah", LOOKUP(C60,'HT-Tööle-koju (M3)'!$B$48:$B$55,'HT-Tööle-koju (M3)'!$E$48:$E$55),IF(F60= "Ei", " "))</f>
        <v>#N/A</v>
      </c>
      <c r="J60" s="597" t="e">
        <f t="shared" si="10"/>
        <v>#N/A</v>
      </c>
      <c r="K60" s="598" t="e">
        <f t="shared" si="11"/>
        <v>#N/A</v>
      </c>
      <c r="M60" s="599"/>
      <c r="N60" s="923"/>
      <c r="O60" s="924"/>
      <c r="P60" s="588"/>
      <c r="Q60" s="572" t="s">
        <v>75</v>
      </c>
      <c r="R60" s="573" t="e">
        <f>IF(Q60="Jah",LOOKUP(N60,'HT-Tööle-koju (M3)'!$B$48:$B$55,'HT-Tööle-koju (M3)'!$C$48:$C$55),IF(Q60="Ei","x "))</f>
        <v>#N/A</v>
      </c>
      <c r="S60" s="547"/>
      <c r="T60" s="574" t="e">
        <f>IF(Q60="Jah", LOOKUP(N60,'HT-Tööle-koju (M3)'!$B$48:$B$55,'HT-Tööle-koju (M3)'!$E$48:$E$55),IF(Q60= "Ei", " "))</f>
        <v>#N/A</v>
      </c>
      <c r="U60" s="597" t="e">
        <f t="shared" si="6"/>
        <v>#N/A</v>
      </c>
      <c r="V60" s="598" t="e">
        <f t="shared" si="7"/>
        <v>#N/A</v>
      </c>
      <c r="X60" s="599"/>
      <c r="Y60" s="923"/>
      <c r="Z60" s="924"/>
      <c r="AA60" s="588"/>
      <c r="AB60" s="572" t="s">
        <v>75</v>
      </c>
      <c r="AC60" s="573" t="e">
        <f>IF(AB60="Jah",LOOKUP(Y60,'HT-Tööle-koju (M3)'!$B$48:$B$55,'HT-Tööle-koju (M3)'!$C$48:$C$55),IF(AB60="Ei","x "))</f>
        <v>#N/A</v>
      </c>
      <c r="AD60" s="547"/>
      <c r="AE60" s="574" t="e">
        <f>IF(AB60="Jah", LOOKUP(Y60,'HT-Tööle-koju (M3)'!$B$48:$B$55,'HT-Tööle-koju (M3)'!$E$48:$E$55),IF(AB60= "Ei", " "))</f>
        <v>#N/A</v>
      </c>
      <c r="AF60" s="597" t="e">
        <f t="shared" si="8"/>
        <v>#N/A</v>
      </c>
      <c r="AG60" s="598" t="e">
        <f t="shared" si="9"/>
        <v>#N/A</v>
      </c>
    </row>
    <row r="61" spans="1:33">
      <c r="B61" s="599"/>
      <c r="C61" s="923"/>
      <c r="D61" s="924"/>
      <c r="E61" s="588"/>
      <c r="F61" s="572" t="s">
        <v>75</v>
      </c>
      <c r="G61" s="573" t="e">
        <f>IF(F61="Jah",LOOKUP(C61,'HT-Tööle-koju (M3)'!$B$48:$B$55,'HT-Tööle-koju (M3)'!$C$48:$C$55),IF(F61="Ei","x "))</f>
        <v>#N/A</v>
      </c>
      <c r="H61" s="547"/>
      <c r="I61" s="574" t="e">
        <f>IF(F61="Jah", LOOKUP(C61,'HT-Tööle-koju (M3)'!$B$48:$B$55,'HT-Tööle-koju (M3)'!$E$48:$E$55),IF(F61= "Ei", " "))</f>
        <v>#N/A</v>
      </c>
      <c r="J61" s="597" t="e">
        <f t="shared" si="10"/>
        <v>#N/A</v>
      </c>
      <c r="K61" s="598" t="e">
        <f t="shared" si="11"/>
        <v>#N/A</v>
      </c>
      <c r="M61" s="599"/>
      <c r="N61" s="923"/>
      <c r="O61" s="924"/>
      <c r="P61" s="588"/>
      <c r="Q61" s="572" t="s">
        <v>75</v>
      </c>
      <c r="R61" s="573" t="e">
        <f>IF(Q61="Jah",LOOKUP(N61,'HT-Tööle-koju (M3)'!$B$48:$B$55,'HT-Tööle-koju (M3)'!$C$48:$C$55),IF(Q61="Ei","x "))</f>
        <v>#N/A</v>
      </c>
      <c r="S61" s="547"/>
      <c r="T61" s="574" t="e">
        <f>IF(Q61="Jah", LOOKUP(N61,'HT-Tööle-koju (M3)'!$B$48:$B$55,'HT-Tööle-koju (M3)'!$E$48:$E$55),IF(Q61= "Ei", " "))</f>
        <v>#N/A</v>
      </c>
      <c r="U61" s="597" t="e">
        <f t="shared" si="6"/>
        <v>#N/A</v>
      </c>
      <c r="V61" s="598" t="e">
        <f t="shared" si="7"/>
        <v>#N/A</v>
      </c>
      <c r="X61" s="599"/>
      <c r="Y61" s="923"/>
      <c r="Z61" s="924"/>
      <c r="AA61" s="588"/>
      <c r="AB61" s="572" t="s">
        <v>75</v>
      </c>
      <c r="AC61" s="573" t="e">
        <f>IF(AB61="Jah",LOOKUP(Y61,'HT-Tööle-koju (M3)'!$B$48:$B$55,'HT-Tööle-koju (M3)'!$C$48:$C$55),IF(AB61="Ei","x "))</f>
        <v>#N/A</v>
      </c>
      <c r="AD61" s="547"/>
      <c r="AE61" s="574" t="e">
        <f>IF(AB61="Jah", LOOKUP(Y61,'HT-Tööle-koju (M3)'!$B$48:$B$55,'HT-Tööle-koju (M3)'!$E$48:$E$55),IF(AB61= "Ei", " "))</f>
        <v>#N/A</v>
      </c>
      <c r="AF61" s="597" t="e">
        <f t="shared" si="8"/>
        <v>#N/A</v>
      </c>
      <c r="AG61" s="598" t="e">
        <f t="shared" si="9"/>
        <v>#N/A</v>
      </c>
    </row>
    <row r="62" spans="1:33" ht="15" customHeight="1">
      <c r="B62" s="599"/>
      <c r="C62" s="923"/>
      <c r="D62" s="924"/>
      <c r="E62" s="588"/>
      <c r="F62" s="572" t="s">
        <v>75</v>
      </c>
      <c r="G62" s="573" t="e">
        <f>IF(F62="Jah",LOOKUP(C62,'HT-Tööle-koju (M3)'!$B$48:$B$55,'HT-Tööle-koju (M3)'!$C$48:$C$55),IF(F62="Ei","x "))</f>
        <v>#N/A</v>
      </c>
      <c r="H62" s="547"/>
      <c r="I62" s="574" t="e">
        <f>IF(F62="Jah", LOOKUP(C62,'HT-Tööle-koju (M3)'!$B$48:$B$55,'HT-Tööle-koju (M3)'!$E$48:$E$55),IF(F62= "Ei", " "))</f>
        <v>#N/A</v>
      </c>
      <c r="J62" s="597" t="e">
        <f t="shared" si="10"/>
        <v>#N/A</v>
      </c>
      <c r="K62" s="598" t="e">
        <f t="shared" si="11"/>
        <v>#N/A</v>
      </c>
      <c r="M62" s="599"/>
      <c r="N62" s="923"/>
      <c r="O62" s="924"/>
      <c r="P62" s="588"/>
      <c r="Q62" s="572" t="s">
        <v>75</v>
      </c>
      <c r="R62" s="573" t="e">
        <f>IF(Q62="Jah",LOOKUP(N62,'HT-Tööle-koju (M3)'!$B$48:$B$55,'HT-Tööle-koju (M3)'!$C$48:$C$55),IF(Q62="Ei","x "))</f>
        <v>#N/A</v>
      </c>
      <c r="S62" s="547"/>
      <c r="T62" s="574" t="e">
        <f>IF(Q62="Jah", LOOKUP(N62,'HT-Tööle-koju (M3)'!$B$48:$B$55,'HT-Tööle-koju (M3)'!$E$48:$E$55),IF(Q62= "Ei", " "))</f>
        <v>#N/A</v>
      </c>
      <c r="U62" s="597" t="e">
        <f t="shared" si="6"/>
        <v>#N/A</v>
      </c>
      <c r="V62" s="598" t="e">
        <f t="shared" si="7"/>
        <v>#N/A</v>
      </c>
      <c r="X62" s="599"/>
      <c r="Y62" s="923"/>
      <c r="Z62" s="924"/>
      <c r="AA62" s="588"/>
      <c r="AB62" s="572" t="s">
        <v>75</v>
      </c>
      <c r="AC62" s="573" t="e">
        <f>IF(AB62="Jah",LOOKUP(Y62,'HT-Tööle-koju (M3)'!$B$48:$B$55,'HT-Tööle-koju (M3)'!$C$48:$C$55),IF(AB62="Ei","x "))</f>
        <v>#N/A</v>
      </c>
      <c r="AD62" s="547"/>
      <c r="AE62" s="574" t="e">
        <f>IF(AB62="Jah", LOOKUP(Y62,'HT-Tööle-koju (M3)'!$B$48:$B$55,'HT-Tööle-koju (M3)'!$E$48:$E$55),IF(AB62= "Ei", " "))</f>
        <v>#N/A</v>
      </c>
      <c r="AF62" s="597" t="e">
        <f t="shared" si="8"/>
        <v>#N/A</v>
      </c>
      <c r="AG62" s="598" t="e">
        <f t="shared" si="9"/>
        <v>#N/A</v>
      </c>
    </row>
    <row r="63" spans="1:33" ht="15" customHeight="1">
      <c r="B63" s="599"/>
      <c r="C63" s="923"/>
      <c r="D63" s="924"/>
      <c r="E63" s="588"/>
      <c r="F63" s="572" t="s">
        <v>75</v>
      </c>
      <c r="G63" s="573" t="e">
        <f>IF(F63="Jah",LOOKUP(C63,'HT-Tööle-koju (M3)'!$B$48:$B$55,'HT-Tööle-koju (M3)'!$C$48:$C$55),IF(F63="Ei","x "))</f>
        <v>#N/A</v>
      </c>
      <c r="H63" s="547"/>
      <c r="I63" s="574" t="e">
        <f>IF(F63="Jah", LOOKUP(C63,'HT-Tööle-koju (M3)'!$B$48:$B$55,'HT-Tööle-koju (M3)'!$E$48:$E$55),IF(F63= "Ei", " "))</f>
        <v>#N/A</v>
      </c>
      <c r="J63" s="597" t="e">
        <f t="shared" si="10"/>
        <v>#N/A</v>
      </c>
      <c r="K63" s="598" t="e">
        <f t="shared" si="11"/>
        <v>#N/A</v>
      </c>
      <c r="M63" s="599"/>
      <c r="N63" s="923"/>
      <c r="O63" s="924"/>
      <c r="P63" s="588"/>
      <c r="Q63" s="572" t="s">
        <v>75</v>
      </c>
      <c r="R63" s="573" t="e">
        <f>IF(Q63="Jah",LOOKUP(N63,'HT-Tööle-koju (M3)'!$B$48:$B$55,'HT-Tööle-koju (M3)'!$C$48:$C$55),IF(Q63="Ei","x "))</f>
        <v>#N/A</v>
      </c>
      <c r="S63" s="547"/>
      <c r="T63" s="574" t="e">
        <f>IF(Q63="Jah", LOOKUP(N63,'HT-Tööle-koju (M3)'!$B$48:$B$55,'HT-Tööle-koju (M3)'!$E$48:$E$55),IF(Q63= "Ei", " "))</f>
        <v>#N/A</v>
      </c>
      <c r="U63" s="597" t="e">
        <f t="shared" si="6"/>
        <v>#N/A</v>
      </c>
      <c r="V63" s="598" t="e">
        <f t="shared" si="7"/>
        <v>#N/A</v>
      </c>
      <c r="X63" s="599"/>
      <c r="Y63" s="923"/>
      <c r="Z63" s="924"/>
      <c r="AA63" s="588"/>
      <c r="AB63" s="572" t="s">
        <v>75</v>
      </c>
      <c r="AC63" s="573" t="e">
        <f>IF(AB63="Jah",LOOKUP(Y63,'HT-Tööle-koju (M3)'!$B$48:$B$55,'HT-Tööle-koju (M3)'!$C$48:$C$55),IF(AB63="Ei","x "))</f>
        <v>#N/A</v>
      </c>
      <c r="AD63" s="547"/>
      <c r="AE63" s="574" t="e">
        <f>IF(AB63="Jah", LOOKUP(Y63,'HT-Tööle-koju (M3)'!$B$48:$B$55,'HT-Tööle-koju (M3)'!$E$48:$E$55),IF(AB63= "Ei", " "))</f>
        <v>#N/A</v>
      </c>
      <c r="AF63" s="597" t="e">
        <f t="shared" si="8"/>
        <v>#N/A</v>
      </c>
      <c r="AG63" s="598" t="e">
        <f t="shared" si="9"/>
        <v>#N/A</v>
      </c>
    </row>
    <row r="64" spans="1:33" ht="15" customHeight="1">
      <c r="B64" s="599"/>
      <c r="C64" s="923"/>
      <c r="D64" s="924"/>
      <c r="E64" s="588"/>
      <c r="F64" s="572" t="s">
        <v>75</v>
      </c>
      <c r="G64" s="573" t="e">
        <f>IF(F64="Jah",LOOKUP(C64,'HT-Tööle-koju (M3)'!$B$48:$B$55,'HT-Tööle-koju (M3)'!$C$48:$C$55),IF(F64="Ei","x "))</f>
        <v>#N/A</v>
      </c>
      <c r="H64" s="547"/>
      <c r="I64" s="574" t="e">
        <f>IF(F64="Jah", LOOKUP(C64,'HT-Tööle-koju (M3)'!$B$48:$B$55,'HT-Tööle-koju (M3)'!$E$48:$E$55),IF(F64= "Ei", " "))</f>
        <v>#N/A</v>
      </c>
      <c r="J64" s="597" t="e">
        <f t="shared" si="10"/>
        <v>#N/A</v>
      </c>
      <c r="K64" s="598" t="e">
        <f t="shared" si="11"/>
        <v>#N/A</v>
      </c>
      <c r="M64" s="599"/>
      <c r="N64" s="923"/>
      <c r="O64" s="924"/>
      <c r="P64" s="588"/>
      <c r="Q64" s="572" t="s">
        <v>75</v>
      </c>
      <c r="R64" s="573" t="e">
        <f>IF(Q64="Jah",LOOKUP(N64,'HT-Tööle-koju (M3)'!$B$48:$B$55,'HT-Tööle-koju (M3)'!$C$48:$C$55),IF(Q64="Ei","x "))</f>
        <v>#N/A</v>
      </c>
      <c r="S64" s="547"/>
      <c r="T64" s="574" t="e">
        <f>IF(Q64="Jah", LOOKUP(N64,'HT-Tööle-koju (M3)'!$B$48:$B$55,'HT-Tööle-koju (M3)'!$E$48:$E$55),IF(Q64= "Ei", " "))</f>
        <v>#N/A</v>
      </c>
      <c r="U64" s="597" t="e">
        <f t="shared" si="6"/>
        <v>#N/A</v>
      </c>
      <c r="V64" s="598" t="e">
        <f t="shared" si="7"/>
        <v>#N/A</v>
      </c>
      <c r="X64" s="599"/>
      <c r="Y64" s="923"/>
      <c r="Z64" s="924"/>
      <c r="AA64" s="588"/>
      <c r="AB64" s="572" t="s">
        <v>75</v>
      </c>
      <c r="AC64" s="573" t="e">
        <f>IF(AB64="Jah",LOOKUP(Y64,'HT-Tööle-koju (M3)'!$B$48:$B$55,'HT-Tööle-koju (M3)'!$C$48:$C$55),IF(AB64="Ei","x "))</f>
        <v>#N/A</v>
      </c>
      <c r="AD64" s="547"/>
      <c r="AE64" s="574" t="e">
        <f>IF(AB64="Jah", LOOKUP(Y64,'HT-Tööle-koju (M3)'!$B$48:$B$55,'HT-Tööle-koju (M3)'!$E$48:$E$55),IF(AB64= "Ei", " "))</f>
        <v>#N/A</v>
      </c>
      <c r="AF64" s="597" t="e">
        <f t="shared" si="8"/>
        <v>#N/A</v>
      </c>
      <c r="AG64" s="598" t="e">
        <f t="shared" si="9"/>
        <v>#N/A</v>
      </c>
    </row>
    <row r="65" spans="1:33" ht="15" customHeight="1">
      <c r="B65" s="599"/>
      <c r="C65" s="923"/>
      <c r="D65" s="924"/>
      <c r="E65" s="588"/>
      <c r="F65" s="572" t="s">
        <v>75</v>
      </c>
      <c r="G65" s="573" t="e">
        <f>IF(F65="Jah",LOOKUP(C65,'HT-Tööle-koju (M3)'!$B$48:$B$55,'HT-Tööle-koju (M3)'!$C$48:$C$55),IF(F65="Ei","x "))</f>
        <v>#N/A</v>
      </c>
      <c r="H65" s="547"/>
      <c r="I65" s="574" t="e">
        <f>IF(F65="Jah", LOOKUP(C65,'HT-Tööle-koju (M3)'!$B$48:$B$55,'HT-Tööle-koju (M3)'!$E$48:$E$55),IF(F65= "Ei", " "))</f>
        <v>#N/A</v>
      </c>
      <c r="J65" s="597" t="e">
        <f t="shared" si="10"/>
        <v>#N/A</v>
      </c>
      <c r="K65" s="598" t="e">
        <f t="shared" si="11"/>
        <v>#N/A</v>
      </c>
      <c r="M65" s="599"/>
      <c r="N65" s="923"/>
      <c r="O65" s="924"/>
      <c r="P65" s="588"/>
      <c r="Q65" s="572" t="s">
        <v>75</v>
      </c>
      <c r="R65" s="573" t="e">
        <f>IF(Q65="Jah",LOOKUP(N65,'HT-Tööle-koju (M3)'!$B$48:$B$55,'HT-Tööle-koju (M3)'!$C$48:$C$55),IF(Q65="Ei","x "))</f>
        <v>#N/A</v>
      </c>
      <c r="S65" s="547"/>
      <c r="T65" s="574" t="e">
        <f>IF(Q65="Jah", LOOKUP(N65,'HT-Tööle-koju (M3)'!$B$48:$B$55,'HT-Tööle-koju (M3)'!$E$48:$E$55),IF(Q65= "Ei", " "))</f>
        <v>#N/A</v>
      </c>
      <c r="U65" s="597" t="e">
        <f t="shared" si="6"/>
        <v>#N/A</v>
      </c>
      <c r="V65" s="598" t="e">
        <f t="shared" si="7"/>
        <v>#N/A</v>
      </c>
      <c r="X65" s="599"/>
      <c r="Y65" s="923"/>
      <c r="Z65" s="924"/>
      <c r="AA65" s="588"/>
      <c r="AB65" s="572" t="s">
        <v>75</v>
      </c>
      <c r="AC65" s="573" t="e">
        <f>IF(AB65="Jah",LOOKUP(Y65,'HT-Tööle-koju (M3)'!$B$48:$B$55,'HT-Tööle-koju (M3)'!$C$48:$C$55),IF(AB65="Ei","x "))</f>
        <v>#N/A</v>
      </c>
      <c r="AD65" s="547"/>
      <c r="AE65" s="574" t="e">
        <f>IF(AB65="Jah", LOOKUP(Y65,'HT-Tööle-koju (M3)'!$B$48:$B$55,'HT-Tööle-koju (M3)'!$E$48:$E$55),IF(AB65= "Ei", " "))</f>
        <v>#N/A</v>
      </c>
      <c r="AF65" s="597" t="e">
        <f t="shared" si="8"/>
        <v>#N/A</v>
      </c>
      <c r="AG65" s="598" t="e">
        <f t="shared" si="9"/>
        <v>#N/A</v>
      </c>
    </row>
    <row r="66" spans="1:33" ht="14">
      <c r="A66" s="297"/>
      <c r="B66" s="536"/>
      <c r="C66" s="537"/>
      <c r="D66" s="537"/>
      <c r="E66" s="537"/>
      <c r="F66" s="591"/>
      <c r="G66" s="591"/>
      <c r="H66" s="591"/>
      <c r="I66" s="592" t="s">
        <v>1592</v>
      </c>
      <c r="J66" s="593">
        <f>SUMIF(J56:J65,"&lt;&gt;#N/A")</f>
        <v>245.99818820642946</v>
      </c>
      <c r="K66" s="594">
        <f>SUMIF(K56:K65,"&lt;&gt;#N/A")</f>
        <v>0.24599818820642949</v>
      </c>
      <c r="M66" s="536"/>
      <c r="N66" s="537"/>
      <c r="O66" s="537"/>
      <c r="P66" s="537"/>
      <c r="Q66" s="591"/>
      <c r="R66" s="591"/>
      <c r="S66" s="591"/>
      <c r="T66" s="592" t="s">
        <v>1592</v>
      </c>
      <c r="U66" s="593">
        <f>SUMIF(U56:U65,"&lt;&gt;#N/A")</f>
        <v>0</v>
      </c>
      <c r="V66" s="594">
        <f>SUMIF(V56:V65,"&lt;&gt;#N/A")</f>
        <v>0</v>
      </c>
      <c r="X66" s="536"/>
      <c r="Y66" s="537"/>
      <c r="Z66" s="537"/>
      <c r="AA66" s="537"/>
      <c r="AB66" s="591"/>
      <c r="AC66" s="591"/>
      <c r="AD66" s="591"/>
      <c r="AE66" s="592" t="s">
        <v>1592</v>
      </c>
      <c r="AF66" s="593">
        <f>SUMIF(AF56:AF65,"&lt;&gt;#N/A")</f>
        <v>0</v>
      </c>
      <c r="AG66" s="594">
        <f>SUMIF(AG56:AG65,"&lt;&gt;#N/A")</f>
        <v>0</v>
      </c>
    </row>
    <row r="67" spans="1:33" ht="14.5" thickBot="1">
      <c r="A67" s="297"/>
      <c r="J67" s="561"/>
      <c r="K67" s="561"/>
      <c r="U67" s="561"/>
      <c r="V67" s="561"/>
      <c r="AF67" s="561"/>
      <c r="AG67" s="561"/>
    </row>
    <row r="68" spans="1:33" thickTop="1" thickBot="1">
      <c r="A68" s="297"/>
      <c r="B68" s="579"/>
      <c r="C68" s="580"/>
      <c r="D68" s="580"/>
      <c r="E68" s="580"/>
      <c r="F68" s="581"/>
      <c r="G68" s="581"/>
      <c r="H68" s="581"/>
      <c r="I68" s="532" t="s">
        <v>1560</v>
      </c>
      <c r="J68" s="534">
        <f>SUMIF(J37:J46,"&lt;&gt;#N/A")+SUMIF(J56:J65,"&lt;&gt;#N/A")</f>
        <v>562.8593920057383</v>
      </c>
      <c r="K68" s="535">
        <f>SUMIF(K37:K46,"&lt;&gt;#N/A")+SUMIF(K56:K65,"&lt;&gt;#N/A")</f>
        <v>0.56285939200573831</v>
      </c>
      <c r="M68" s="579"/>
      <c r="N68" s="580"/>
      <c r="O68" s="580"/>
      <c r="P68" s="580"/>
      <c r="Q68" s="581"/>
      <c r="R68" s="581"/>
      <c r="S68" s="581"/>
      <c r="T68" s="532" t="s">
        <v>1560</v>
      </c>
      <c r="U68" s="534">
        <f>SUMIF(U37:U46,"&lt;&gt;#N/A")+SUMIF(U56:U65,"&lt;&gt;#N/A")</f>
        <v>826.76625235328061</v>
      </c>
      <c r="V68" s="535">
        <f>SUMIF(V37:V46,"&lt;&gt;#N/A")+SUMIF(V56:V65,"&lt;&gt;#N/A")</f>
        <v>0.82676625235328061</v>
      </c>
      <c r="X68" s="579"/>
      <c r="Y68" s="580"/>
      <c r="Z68" s="580"/>
      <c r="AA68" s="580"/>
      <c r="AB68" s="581"/>
      <c r="AC68" s="581"/>
      <c r="AD68" s="581"/>
      <c r="AE68" s="532" t="s">
        <v>1560</v>
      </c>
      <c r="AF68" s="534">
        <f>SUMIF(AF37:AF46,"&lt;&gt;#N/A")+SUMIF(AF56:AF65,"&lt;&gt;#N/A")</f>
        <v>0</v>
      </c>
      <c r="AG68" s="535">
        <f>SUMIF(AG37:AG46,"&lt;&gt;#N/A")+SUMIF(AG56:AG65,"&lt;&gt;#N/A")</f>
        <v>0</v>
      </c>
    </row>
    <row r="69" spans="1:33" ht="15.5" thickTop="1"/>
    <row r="70" spans="1:33">
      <c r="B70" s="536"/>
      <c r="C70" s="537"/>
      <c r="D70" s="537"/>
      <c r="E70" s="537"/>
      <c r="F70" s="537"/>
      <c r="G70" s="537"/>
      <c r="H70" s="537"/>
      <c r="I70" s="538" t="s">
        <v>1575</v>
      </c>
      <c r="J70" s="539">
        <f>SUMIF(B37:B46,1,J37:J46)+SUMIF(B56:B65,1,J56:J65)</f>
        <v>381.29022978818415</v>
      </c>
      <c r="K70" s="540">
        <f>J70*0.001</f>
        <v>0.38129022978818417</v>
      </c>
      <c r="M70" s="536"/>
      <c r="N70" s="537"/>
      <c r="O70" s="537"/>
      <c r="P70" s="537"/>
      <c r="Q70" s="537"/>
      <c r="R70" s="537"/>
      <c r="S70" s="537"/>
      <c r="T70" s="538" t="s">
        <v>1575</v>
      </c>
      <c r="U70" s="539">
        <f>SUMIF(M37:M46,1,U37:U46)+SUMIF(M56:M65,1,U56:U65)</f>
        <v>808.7122644453658</v>
      </c>
      <c r="V70" s="540">
        <f>U70*0.001</f>
        <v>0.80871226444536581</v>
      </c>
      <c r="X70" s="536"/>
      <c r="Y70" s="537"/>
      <c r="Z70" s="537"/>
      <c r="AA70" s="537"/>
      <c r="AB70" s="537"/>
      <c r="AC70" s="537"/>
      <c r="AD70" s="537"/>
      <c r="AE70" s="538" t="s">
        <v>1575</v>
      </c>
      <c r="AF70" s="539">
        <f>SUMIF(X37:X46,1,AF37:AF46)+SUMIF(X56:X65,1,AF56:AF65)</f>
        <v>0</v>
      </c>
      <c r="AG70" s="540">
        <f>AF70*0.001</f>
        <v>0</v>
      </c>
    </row>
    <row r="71" spans="1:33">
      <c r="B71" s="536"/>
      <c r="C71" s="537"/>
      <c r="D71" s="537"/>
      <c r="E71" s="537"/>
      <c r="F71" s="537"/>
      <c r="G71" s="537"/>
      <c r="H71" s="537"/>
      <c r="I71" s="538" t="s">
        <v>1576</v>
      </c>
      <c r="J71" s="539">
        <f>SUMIF(B37:B46,2,J37:J46)+SUMIF(B56:B65,2,J56:J65)</f>
        <v>181.56916221755415</v>
      </c>
      <c r="K71" s="540">
        <f t="shared" ref="K71:K72" si="12">J71*0.001</f>
        <v>0.18156916221755415</v>
      </c>
      <c r="M71" s="536"/>
      <c r="N71" s="537"/>
      <c r="O71" s="537"/>
      <c r="P71" s="537"/>
      <c r="Q71" s="537"/>
      <c r="R71" s="537"/>
      <c r="S71" s="537"/>
      <c r="T71" s="538" t="s">
        <v>1576</v>
      </c>
      <c r="U71" s="539">
        <f>SUMIF(M37:M46,2,U37:U46)+SUMIF(M56:M65,2,U56:U65)</f>
        <v>18.053987907914802</v>
      </c>
      <c r="V71" s="540">
        <f>U71*0.001</f>
        <v>1.8053987907914803E-2</v>
      </c>
      <c r="X71" s="536"/>
      <c r="Y71" s="537"/>
      <c r="Z71" s="537"/>
      <c r="AA71" s="537"/>
      <c r="AB71" s="537"/>
      <c r="AC71" s="537"/>
      <c r="AD71" s="537"/>
      <c r="AE71" s="538" t="s">
        <v>1576</v>
      </c>
      <c r="AF71" s="539">
        <f>SUMIF(X37:X46,2,AF37:AF46)+SUMIF(X56:X65,2,AF56:AF65)</f>
        <v>0</v>
      </c>
      <c r="AG71" s="540">
        <f>AF71*0.001</f>
        <v>0</v>
      </c>
    </row>
    <row r="72" spans="1:33">
      <c r="B72" s="536"/>
      <c r="C72" s="537"/>
      <c r="D72" s="537"/>
      <c r="E72" s="537"/>
      <c r="F72" s="537"/>
      <c r="G72" s="537"/>
      <c r="H72" s="537"/>
      <c r="I72" s="538" t="s">
        <v>1577</v>
      </c>
      <c r="J72" s="539">
        <f>SUMIF(B37:B46,3,J37:J46)+SUMIF(B56:B65,3,J56:J65)</f>
        <v>0</v>
      </c>
      <c r="K72" s="540">
        <f t="shared" si="12"/>
        <v>0</v>
      </c>
      <c r="M72" s="536"/>
      <c r="N72" s="537"/>
      <c r="O72" s="537"/>
      <c r="P72" s="537"/>
      <c r="Q72" s="537"/>
      <c r="R72" s="537"/>
      <c r="S72" s="537"/>
      <c r="T72" s="538" t="s">
        <v>1577</v>
      </c>
      <c r="U72" s="539">
        <f>SUMIF(M37:M46,3,U37:U46)+SUMIF(M56:M65,3,U56:U65)</f>
        <v>0</v>
      </c>
      <c r="V72" s="540">
        <f>U72*0.001</f>
        <v>0</v>
      </c>
      <c r="X72" s="536"/>
      <c r="Y72" s="537"/>
      <c r="Z72" s="537"/>
      <c r="AA72" s="537"/>
      <c r="AB72" s="537"/>
      <c r="AC72" s="537"/>
      <c r="AD72" s="537"/>
      <c r="AE72" s="538" t="s">
        <v>1577</v>
      </c>
      <c r="AF72" s="539">
        <f>SUMIF(X37:X46,3,AF37:AF46)+SUMIF(X56:X65,3,AF56:AF65)</f>
        <v>0</v>
      </c>
      <c r="AG72" s="540">
        <f>AF72*0.001</f>
        <v>0</v>
      </c>
    </row>
    <row r="77" spans="1:33" ht="14">
      <c r="A77" s="297"/>
    </row>
  </sheetData>
  <mergeCells count="114">
    <mergeCell ref="Y63:Z63"/>
    <mergeCell ref="Y64:Z64"/>
    <mergeCell ref="Y65:Z65"/>
    <mergeCell ref="Y58:Z58"/>
    <mergeCell ref="Y59:Z59"/>
    <mergeCell ref="Y60:Z60"/>
    <mergeCell ref="Y61:Z61"/>
    <mergeCell ref="Y62:Z62"/>
    <mergeCell ref="AE52:AE55"/>
    <mergeCell ref="AF52:AG54"/>
    <mergeCell ref="AC55:AD55"/>
    <mergeCell ref="Y56:Z56"/>
    <mergeCell ref="Y57:Z57"/>
    <mergeCell ref="Y52:Z55"/>
    <mergeCell ref="AA52:AA55"/>
    <mergeCell ref="AB52:AB54"/>
    <mergeCell ref="AC52:AC54"/>
    <mergeCell ref="AD52:AD54"/>
    <mergeCell ref="AB33:AB35"/>
    <mergeCell ref="AC33:AC35"/>
    <mergeCell ref="AD33:AD35"/>
    <mergeCell ref="AE33:AE36"/>
    <mergeCell ref="AF33:AG35"/>
    <mergeCell ref="AC36:AD36"/>
    <mergeCell ref="N64:O64"/>
    <mergeCell ref="N65:O65"/>
    <mergeCell ref="X33:X36"/>
    <mergeCell ref="Y33:Z36"/>
    <mergeCell ref="AA33:AA36"/>
    <mergeCell ref="Y37:Z37"/>
    <mergeCell ref="Y38:Z38"/>
    <mergeCell ref="Y39:Z39"/>
    <mergeCell ref="Y40:Z40"/>
    <mergeCell ref="Y41:Z41"/>
    <mergeCell ref="Y42:Z42"/>
    <mergeCell ref="Y43:Z43"/>
    <mergeCell ref="Y44:Z44"/>
    <mergeCell ref="Y45:Z45"/>
    <mergeCell ref="Y46:Z46"/>
    <mergeCell ref="X52:X55"/>
    <mergeCell ref="N59:O59"/>
    <mergeCell ref="N60:O60"/>
    <mergeCell ref="N61:O61"/>
    <mergeCell ref="N62:O62"/>
    <mergeCell ref="N63:O63"/>
    <mergeCell ref="U52:V54"/>
    <mergeCell ref="R55:S55"/>
    <mergeCell ref="N56:O56"/>
    <mergeCell ref="N57:O57"/>
    <mergeCell ref="N58:O58"/>
    <mergeCell ref="P52:P55"/>
    <mergeCell ref="Q52:Q54"/>
    <mergeCell ref="R52:R54"/>
    <mergeCell ref="S52:S54"/>
    <mergeCell ref="T52:T55"/>
    <mergeCell ref="N43:O43"/>
    <mergeCell ref="N44:O44"/>
    <mergeCell ref="N45:O45"/>
    <mergeCell ref="N46:O46"/>
    <mergeCell ref="M52:M55"/>
    <mergeCell ref="N52:O55"/>
    <mergeCell ref="N38:O38"/>
    <mergeCell ref="N39:O39"/>
    <mergeCell ref="N40:O40"/>
    <mergeCell ref="N41:O41"/>
    <mergeCell ref="N42:O42"/>
    <mergeCell ref="S33:S35"/>
    <mergeCell ref="T33:T36"/>
    <mergeCell ref="U33:V35"/>
    <mergeCell ref="R36:S36"/>
    <mergeCell ref="N37:O37"/>
    <mergeCell ref="M33:M36"/>
    <mergeCell ref="N33:O36"/>
    <mergeCell ref="P33:P36"/>
    <mergeCell ref="Q33:Q35"/>
    <mergeCell ref="R33:R35"/>
    <mergeCell ref="C64:D64"/>
    <mergeCell ref="C65:D65"/>
    <mergeCell ref="C57:D57"/>
    <mergeCell ref="C58:D58"/>
    <mergeCell ref="C59:D59"/>
    <mergeCell ref="C60:D60"/>
    <mergeCell ref="C61:D61"/>
    <mergeCell ref="C46:D46"/>
    <mergeCell ref="C52:D55"/>
    <mergeCell ref="C56:D56"/>
    <mergeCell ref="C62:D62"/>
    <mergeCell ref="C63:D63"/>
    <mergeCell ref="J33:K35"/>
    <mergeCell ref="F52:F54"/>
    <mergeCell ref="G52:G54"/>
    <mergeCell ref="H52:H54"/>
    <mergeCell ref="I52:I55"/>
    <mergeCell ref="J52:K54"/>
    <mergeCell ref="F33:F35"/>
    <mergeCell ref="H33:H35"/>
    <mergeCell ref="G33:G35"/>
    <mergeCell ref="I33:I36"/>
    <mergeCell ref="E52:E55"/>
    <mergeCell ref="B52:B55"/>
    <mergeCell ref="G55:H55"/>
    <mergeCell ref="G36:H36"/>
    <mergeCell ref="E33:E36"/>
    <mergeCell ref="B33:B36"/>
    <mergeCell ref="C33:D36"/>
    <mergeCell ref="C37:D37"/>
    <mergeCell ref="C38:D38"/>
    <mergeCell ref="C39:D39"/>
    <mergeCell ref="C40:D40"/>
    <mergeCell ref="C41:D41"/>
    <mergeCell ref="C42:D42"/>
    <mergeCell ref="C43:D43"/>
    <mergeCell ref="C44:D44"/>
    <mergeCell ref="C45:D45"/>
  </mergeCells>
  <conditionalFormatting sqref="F51:I51">
    <cfRule type="expression" dxfId="29" priority="20" stopIfTrue="1">
      <formula>NOT(F51="")</formula>
    </cfRule>
  </conditionalFormatting>
  <conditionalFormatting sqref="F32:I32">
    <cfRule type="expression" dxfId="28" priority="19" stopIfTrue="1">
      <formula>NOT(F32="")</formula>
    </cfRule>
  </conditionalFormatting>
  <conditionalFormatting sqref="F31:I31">
    <cfRule type="expression" dxfId="27" priority="16" stopIfTrue="1">
      <formula>NOT(F31="")</formula>
    </cfRule>
  </conditionalFormatting>
  <conditionalFormatting sqref="F50:I50">
    <cfRule type="expression" dxfId="26" priority="15" stopIfTrue="1">
      <formula>NOT(F50="")</formula>
    </cfRule>
  </conditionalFormatting>
  <conditionalFormatting sqref="I37:I46">
    <cfRule type="expression" dxfId="25" priority="14">
      <formula>$F37="Ei"</formula>
    </cfRule>
  </conditionalFormatting>
  <conditionalFormatting sqref="I56:I65">
    <cfRule type="expression" dxfId="24" priority="13">
      <formula>$F56="Ei"</formula>
    </cfRule>
  </conditionalFormatting>
  <conditionalFormatting sqref="Q51:T51">
    <cfRule type="expression" dxfId="23" priority="12" stopIfTrue="1">
      <formula>NOT(Q51="")</formula>
    </cfRule>
  </conditionalFormatting>
  <conditionalFormatting sqref="Q32:T32">
    <cfRule type="expression" dxfId="22" priority="11" stopIfTrue="1">
      <formula>NOT(Q32="")</formula>
    </cfRule>
  </conditionalFormatting>
  <conditionalFormatting sqref="Q31:T31">
    <cfRule type="expression" dxfId="21" priority="10" stopIfTrue="1">
      <formula>NOT(Q31="")</formula>
    </cfRule>
  </conditionalFormatting>
  <conditionalFormatting sqref="Q50:T50">
    <cfRule type="expression" dxfId="20" priority="9" stopIfTrue="1">
      <formula>NOT(Q50="")</formula>
    </cfRule>
  </conditionalFormatting>
  <conditionalFormatting sqref="T37:T46">
    <cfRule type="expression" dxfId="19" priority="8">
      <formula>$Q37="Ei"</formula>
    </cfRule>
  </conditionalFormatting>
  <conditionalFormatting sqref="T56:T65">
    <cfRule type="expression" dxfId="18" priority="7">
      <formula>$Q56="Ei"</formula>
    </cfRule>
  </conditionalFormatting>
  <conditionalFormatting sqref="AB51:AE51">
    <cfRule type="expression" dxfId="17" priority="6" stopIfTrue="1">
      <formula>NOT(AB51="")</formula>
    </cfRule>
  </conditionalFormatting>
  <conditionalFormatting sqref="AB32:AE32">
    <cfRule type="expression" dxfId="16" priority="5" stopIfTrue="1">
      <formula>NOT(AB32="")</formula>
    </cfRule>
  </conditionalFormatting>
  <conditionalFormatting sqref="AB31:AE31">
    <cfRule type="expression" dxfId="15" priority="4" stopIfTrue="1">
      <formula>NOT(AB31="")</formula>
    </cfRule>
  </conditionalFormatting>
  <conditionalFormatting sqref="AB50:AE50">
    <cfRule type="expression" dxfId="14" priority="3" stopIfTrue="1">
      <formula>NOT(AB50="")</formula>
    </cfRule>
  </conditionalFormatting>
  <conditionalFormatting sqref="AE37:AE46">
    <cfRule type="expression" dxfId="13" priority="2">
      <formula>$AB37="Ei"</formula>
    </cfRule>
  </conditionalFormatting>
  <conditionalFormatting sqref="AE56:AE65">
    <cfRule type="expression" dxfId="12" priority="1">
      <formula>$AB56="Ei"</formula>
    </cfRule>
  </conditionalFormatting>
  <hyperlinks>
    <hyperlink ref="A2" location="Sisukord!A1" display="Sisukor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'HT-Tööle-koju (M3)'!$B$48:$B$55</xm:f>
          </x14:formula1>
          <xm:sqref>C56:D65 N56:O65 Y56:Z65</xm:sqref>
        </x14:dataValidation>
        <x14:dataValidation type="list" allowBlank="1" showInputMessage="1" showErrorMessage="1">
          <x14:formula1>
            <xm:f>Viited!$B$65:$B$66</xm:f>
          </x14:formula1>
          <xm:sqref>G47:H47 F37:F47 G66:H66 F56:F66 F68:H68 R47:S47 Q37:Q47 R66:S66 Q56:Q66 Q68:S68 AC47:AD47 AB37:AB47 AC66:AD66 AB56:AB66 AB68:AD68</xm:sqref>
        </x14:dataValidation>
        <x14:dataValidation type="list" allowBlank="1" showInputMessage="1" showErrorMessage="1">
          <x14:formula1>
            <xm:f>'HT-Tööle-koju (M3)'!$B$5:$B$44</xm:f>
          </x14:formula1>
          <xm:sqref>C37:D46 N37:O46 Y37:Z46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P67"/>
  <sheetViews>
    <sheetView showGridLines="0" zoomScale="90" zoomScaleNormal="90" workbookViewId="0">
      <pane xSplit="1" ySplit="1" topLeftCell="B20" activePane="bottomRight" state="frozen"/>
      <selection activeCell="B5" sqref="B5"/>
      <selection pane="topRight" activeCell="B5" sqref="B5"/>
      <selection pane="bottomLeft" activeCell="B5" sqref="B5"/>
      <selection pane="bottomRight" activeCell="R27" sqref="R27"/>
    </sheetView>
  </sheetViews>
  <sheetFormatPr defaultColWidth="8.7265625" defaultRowHeight="15" customHeight="1"/>
  <cols>
    <col min="1" max="1" width="7.1796875" style="302" customWidth="1"/>
    <col min="2" max="2" width="9.7265625" style="297" customWidth="1"/>
    <col min="3" max="5" width="9.54296875" style="297" customWidth="1"/>
    <col min="6" max="6" width="12.54296875" style="297" customWidth="1"/>
    <col min="7" max="7" width="15.453125" style="297" customWidth="1"/>
    <col min="8" max="8" width="15.81640625" style="297" customWidth="1"/>
    <col min="9" max="9" width="16.7265625" style="297" customWidth="1"/>
    <col min="10" max="11" width="15.54296875" style="297" customWidth="1"/>
    <col min="12" max="12" width="50.54296875" style="297" customWidth="1"/>
    <col min="13" max="14" width="14" style="297" customWidth="1"/>
    <col min="15" max="15" width="8.54296875" style="297" customWidth="1"/>
    <col min="16" max="16" width="9.7265625" style="297" customWidth="1"/>
    <col min="17" max="19" width="9.81640625" style="297" customWidth="1"/>
    <col min="20" max="20" width="12.81640625" style="297" customWidth="1"/>
    <col min="21" max="21" width="15.453125" style="297" customWidth="1"/>
    <col min="22" max="22" width="15.81640625" style="297" customWidth="1"/>
    <col min="23" max="23" width="16.7265625" style="297" customWidth="1"/>
    <col min="24" max="25" width="15.81640625" style="297" customWidth="1"/>
    <col min="26" max="26" width="50.81640625" style="297" customWidth="1"/>
    <col min="27" max="28" width="14" style="297" customWidth="1"/>
    <col min="29" max="29" width="8.54296875" style="297" customWidth="1"/>
    <col min="30" max="30" width="9.7265625" style="297" customWidth="1"/>
    <col min="31" max="33" width="9.81640625" style="297" customWidth="1"/>
    <col min="34" max="34" width="12.81640625" style="297" customWidth="1"/>
    <col min="35" max="35" width="15.453125" style="297" customWidth="1"/>
    <col min="36" max="36" width="15.81640625" style="297" customWidth="1"/>
    <col min="37" max="37" width="16.7265625" style="297" customWidth="1"/>
    <col min="38" max="39" width="15.81640625" style="297" customWidth="1"/>
    <col min="40" max="40" width="50.81640625" style="297" customWidth="1"/>
    <col min="41" max="42" width="14" style="297" customWidth="1"/>
    <col min="43" max="16384" width="8.7265625" style="297"/>
  </cols>
  <sheetData>
    <row r="1" spans="1:14" s="396" customFormat="1" ht="21" customHeight="1">
      <c r="A1" s="293"/>
      <c r="B1" s="291" t="s">
        <v>115</v>
      </c>
      <c r="C1" s="319"/>
      <c r="D1" s="319"/>
      <c r="E1" s="319"/>
    </row>
    <row r="2" spans="1:14" ht="15" customHeight="1">
      <c r="A2" s="295" t="s">
        <v>1</v>
      </c>
      <c r="B2" s="516" t="s">
        <v>1793</v>
      </c>
      <c r="C2" s="517"/>
      <c r="D2" s="517"/>
      <c r="E2" s="517"/>
      <c r="F2" s="517"/>
      <c r="G2" s="517"/>
      <c r="H2" s="517"/>
      <c r="I2" s="517"/>
      <c r="J2" s="517"/>
      <c r="K2" s="517"/>
      <c r="L2" s="517"/>
      <c r="M2" s="517"/>
      <c r="N2" s="518"/>
    </row>
    <row r="3" spans="1:14" ht="15" customHeight="1">
      <c r="A3" s="295"/>
      <c r="B3" s="519" t="s">
        <v>1461</v>
      </c>
      <c r="N3" s="520"/>
    </row>
    <row r="4" spans="1:14" ht="15" customHeight="1">
      <c r="A4" s="295"/>
      <c r="B4" s="519" t="s">
        <v>1462</v>
      </c>
      <c r="N4" s="520"/>
    </row>
    <row r="5" spans="1:14" ht="15" customHeight="1">
      <c r="A5" s="295"/>
      <c r="B5" s="519" t="s">
        <v>2349</v>
      </c>
      <c r="N5" s="520"/>
    </row>
    <row r="6" spans="1:14" ht="15" customHeight="1">
      <c r="A6" s="295"/>
      <c r="B6" s="519"/>
      <c r="N6" s="520"/>
    </row>
    <row r="7" spans="1:14" ht="15" customHeight="1">
      <c r="A7" s="297"/>
      <c r="B7" s="554" t="s">
        <v>66</v>
      </c>
      <c r="N7" s="520"/>
    </row>
    <row r="8" spans="1:14" ht="15" customHeight="1">
      <c r="A8" s="297"/>
      <c r="B8" s="519" t="s">
        <v>1794</v>
      </c>
      <c r="N8" s="520"/>
    </row>
    <row r="9" spans="1:14" ht="15" customHeight="1">
      <c r="A9" s="297"/>
      <c r="B9" s="519" t="s">
        <v>1671</v>
      </c>
      <c r="C9" s="296"/>
      <c r="D9" s="296"/>
      <c r="E9" s="296"/>
      <c r="N9" s="520"/>
    </row>
    <row r="10" spans="1:14" ht="15" customHeight="1">
      <c r="A10" s="297"/>
      <c r="B10" s="519" t="s">
        <v>1795</v>
      </c>
      <c r="N10" s="520"/>
    </row>
    <row r="11" spans="1:14" ht="15" customHeight="1">
      <c r="B11" s="519" t="s">
        <v>1672</v>
      </c>
      <c r="N11" s="520"/>
    </row>
    <row r="12" spans="1:14" ht="15" customHeight="1">
      <c r="B12" s="519" t="s">
        <v>1673</v>
      </c>
      <c r="N12" s="520"/>
    </row>
    <row r="13" spans="1:14" ht="15" customHeight="1">
      <c r="B13" s="519" t="s">
        <v>1674</v>
      </c>
      <c r="N13" s="520"/>
    </row>
    <row r="14" spans="1:14" ht="15" customHeight="1">
      <c r="B14" s="519" t="s">
        <v>1675</v>
      </c>
      <c r="N14" s="520"/>
    </row>
    <row r="15" spans="1:14" ht="15" customHeight="1">
      <c r="B15" s="519"/>
      <c r="N15" s="520"/>
    </row>
    <row r="16" spans="1:14" ht="15" customHeight="1">
      <c r="B16" s="519" t="s">
        <v>1796</v>
      </c>
      <c r="N16" s="520"/>
    </row>
    <row r="17" spans="2:14" ht="15" customHeight="1">
      <c r="B17" s="519" t="s">
        <v>1676</v>
      </c>
      <c r="N17" s="520"/>
    </row>
    <row r="18" spans="2:14" ht="15" customHeight="1">
      <c r="B18" s="519" t="s">
        <v>1797</v>
      </c>
      <c r="N18" s="520"/>
    </row>
    <row r="19" spans="2:14" ht="15" customHeight="1">
      <c r="B19" s="519" t="s">
        <v>1798</v>
      </c>
      <c r="N19" s="520"/>
    </row>
    <row r="20" spans="2:14" ht="15" customHeight="1">
      <c r="B20" s="519" t="s">
        <v>1464</v>
      </c>
      <c r="N20" s="520"/>
    </row>
    <row r="21" spans="2:14" ht="15" customHeight="1">
      <c r="B21" s="555" t="s">
        <v>1567</v>
      </c>
      <c r="C21" s="555"/>
      <c r="D21" s="556" t="s">
        <v>2089</v>
      </c>
      <c r="E21" s="557">
        <v>0.1</v>
      </c>
      <c r="F21" s="558" t="s">
        <v>1565</v>
      </c>
      <c r="J21" s="293"/>
      <c r="N21" s="520"/>
    </row>
    <row r="22" spans="2:14" ht="15" customHeight="1">
      <c r="B22" s="955" t="s">
        <v>1566</v>
      </c>
      <c r="C22" s="955"/>
      <c r="D22" s="559" t="s">
        <v>2089</v>
      </c>
      <c r="E22" s="560">
        <v>0.2</v>
      </c>
      <c r="F22" s="518" t="s">
        <v>1565</v>
      </c>
      <c r="K22" s="293"/>
      <c r="N22" s="520"/>
    </row>
    <row r="23" spans="2:14" ht="15" customHeight="1">
      <c r="B23" s="955"/>
      <c r="C23" s="955"/>
      <c r="D23" s="523"/>
      <c r="E23" s="524"/>
      <c r="F23" s="525"/>
      <c r="G23" s="561"/>
      <c r="K23" s="293"/>
      <c r="N23" s="520"/>
    </row>
    <row r="24" spans="2:14" ht="15" customHeight="1">
      <c r="B24" s="955" t="s">
        <v>1569</v>
      </c>
      <c r="C24" s="955"/>
      <c r="D24" s="559" t="s">
        <v>2089</v>
      </c>
      <c r="E24" s="560">
        <v>0.16</v>
      </c>
      <c r="F24" s="518" t="s">
        <v>1565</v>
      </c>
      <c r="K24" s="293"/>
      <c r="N24" s="520"/>
    </row>
    <row r="25" spans="2:14" ht="15" customHeight="1">
      <c r="B25" s="955"/>
      <c r="C25" s="955"/>
      <c r="D25" s="523"/>
      <c r="E25" s="524"/>
      <c r="F25" s="525"/>
      <c r="G25" s="561"/>
      <c r="K25" s="293"/>
      <c r="N25" s="520"/>
    </row>
    <row r="26" spans="2:14" ht="15" customHeight="1">
      <c r="B26" s="955" t="s">
        <v>1568</v>
      </c>
      <c r="C26" s="955"/>
      <c r="D26" s="559" t="s">
        <v>2089</v>
      </c>
      <c r="E26" s="560">
        <v>0.05</v>
      </c>
      <c r="F26" s="518" t="s">
        <v>1565</v>
      </c>
      <c r="K26" s="293"/>
      <c r="N26" s="520"/>
    </row>
    <row r="27" spans="2:14" ht="15" customHeight="1">
      <c r="B27" s="955"/>
      <c r="C27" s="955"/>
      <c r="D27" s="523"/>
      <c r="E27" s="524"/>
      <c r="F27" s="525"/>
      <c r="G27" s="561"/>
      <c r="K27" s="293"/>
      <c r="N27" s="520"/>
    </row>
    <row r="28" spans="2:14" ht="15" customHeight="1">
      <c r="B28" s="955" t="s">
        <v>1570</v>
      </c>
      <c r="C28" s="955"/>
      <c r="D28" s="559" t="s">
        <v>2089</v>
      </c>
      <c r="E28" s="891">
        <v>0.05</v>
      </c>
      <c r="F28" s="518" t="s">
        <v>1565</v>
      </c>
      <c r="K28" s="293"/>
      <c r="N28" s="520"/>
    </row>
    <row r="29" spans="2:14" ht="15" customHeight="1">
      <c r="B29" s="955"/>
      <c r="C29" s="955"/>
      <c r="D29" s="523"/>
      <c r="E29" s="524"/>
      <c r="F29" s="525"/>
      <c r="G29" s="561"/>
      <c r="K29" s="293"/>
      <c r="N29" s="520"/>
    </row>
    <row r="30" spans="2:14" ht="15" customHeight="1">
      <c r="B30" s="562"/>
      <c r="C30" s="563"/>
      <c r="G30" s="561"/>
      <c r="K30" s="293"/>
      <c r="N30" s="520"/>
    </row>
    <row r="31" spans="2:14" ht="15" customHeight="1">
      <c r="B31" s="519" t="s">
        <v>2090</v>
      </c>
      <c r="C31" s="501"/>
      <c r="G31" s="561"/>
      <c r="K31" s="293"/>
      <c r="N31" s="520"/>
    </row>
    <row r="32" spans="2:14" ht="15" customHeight="1">
      <c r="B32" s="519" t="s">
        <v>1799</v>
      </c>
      <c r="C32" s="501"/>
      <c r="G32" s="561"/>
      <c r="K32" s="293"/>
      <c r="N32" s="520"/>
    </row>
    <row r="33" spans="1:42" ht="15" customHeight="1">
      <c r="B33" s="519"/>
      <c r="C33" s="501"/>
      <c r="G33" s="561"/>
      <c r="K33" s="293"/>
      <c r="N33" s="520"/>
    </row>
    <row r="34" spans="1:42" ht="15" customHeight="1">
      <c r="B34" s="523" t="s">
        <v>1746</v>
      </c>
      <c r="C34" s="564"/>
      <c r="D34" s="524"/>
      <c r="E34" s="524"/>
      <c r="F34" s="524"/>
      <c r="G34" s="565"/>
      <c r="H34" s="524"/>
      <c r="I34" s="524"/>
      <c r="J34" s="524"/>
      <c r="K34" s="566"/>
      <c r="L34" s="524"/>
      <c r="M34" s="524"/>
      <c r="N34" s="525"/>
    </row>
    <row r="35" spans="1:42" ht="15" customHeight="1" thickBot="1">
      <c r="K35" s="293"/>
    </row>
    <row r="36" spans="1:42" ht="15" customHeight="1" thickTop="1" thickBot="1">
      <c r="B36" s="502" t="s">
        <v>55</v>
      </c>
      <c r="C36" s="526">
        <f>Organisatsioon!B23</f>
        <v>2021</v>
      </c>
      <c r="K36" s="293"/>
      <c r="P36" s="502" t="s">
        <v>55</v>
      </c>
      <c r="Q36" s="526">
        <f>Organisatsioon!B24</f>
        <v>2022</v>
      </c>
      <c r="Y36" s="293"/>
      <c r="AD36" s="502" t="s">
        <v>55</v>
      </c>
      <c r="AE36" s="526">
        <f>Organisatsioon!B25</f>
        <v>2023</v>
      </c>
      <c r="AM36" s="293"/>
    </row>
    <row r="37" spans="1:42" ht="15" customHeight="1" thickTop="1">
      <c r="K37" s="293"/>
      <c r="Y37" s="293"/>
      <c r="AM37" s="293"/>
    </row>
    <row r="38" spans="1:42" s="395" customFormat="1" ht="15" customHeight="1">
      <c r="B38" s="308" t="s">
        <v>116</v>
      </c>
      <c r="C38" s="543"/>
      <c r="D38" s="543"/>
      <c r="E38" s="543"/>
      <c r="F38" s="567"/>
      <c r="G38" s="567"/>
      <c r="H38" s="567"/>
      <c r="I38" s="568"/>
      <c r="J38" s="568"/>
      <c r="K38" s="568"/>
      <c r="L38" s="568"/>
      <c r="M38" s="569"/>
      <c r="N38" s="570"/>
      <c r="P38" s="308" t="s">
        <v>116</v>
      </c>
      <c r="Q38" s="543"/>
      <c r="R38" s="543"/>
      <c r="S38" s="543"/>
      <c r="T38" s="567"/>
      <c r="U38" s="567"/>
      <c r="V38" s="567"/>
      <c r="W38" s="568"/>
      <c r="X38" s="568"/>
      <c r="Y38" s="568"/>
      <c r="Z38" s="568"/>
      <c r="AA38" s="569"/>
      <c r="AB38" s="570"/>
      <c r="AD38" s="308" t="s">
        <v>116</v>
      </c>
      <c r="AE38" s="543"/>
      <c r="AF38" s="543"/>
      <c r="AG38" s="543"/>
      <c r="AH38" s="567"/>
      <c r="AI38" s="567"/>
      <c r="AJ38" s="567"/>
      <c r="AK38" s="568"/>
      <c r="AL38" s="568"/>
      <c r="AM38" s="568"/>
      <c r="AN38" s="568"/>
      <c r="AO38" s="569"/>
      <c r="AP38" s="570"/>
    </row>
    <row r="39" spans="1:42" ht="15" customHeight="1">
      <c r="B39" s="925" t="s">
        <v>57</v>
      </c>
      <c r="C39" s="908" t="s">
        <v>117</v>
      </c>
      <c r="D39" s="941"/>
      <c r="E39" s="941"/>
      <c r="F39" s="909"/>
      <c r="G39" s="914" t="s">
        <v>2091</v>
      </c>
      <c r="H39" s="914" t="s">
        <v>118</v>
      </c>
      <c r="I39" s="914" t="s">
        <v>68</v>
      </c>
      <c r="J39" s="914" t="s">
        <v>69</v>
      </c>
      <c r="K39" s="914" t="s">
        <v>70</v>
      </c>
      <c r="L39" s="914" t="s">
        <v>71</v>
      </c>
      <c r="M39" s="916" t="s">
        <v>86</v>
      </c>
      <c r="N39" s="917"/>
      <c r="P39" s="925" t="s">
        <v>57</v>
      </c>
      <c r="Q39" s="908" t="s">
        <v>117</v>
      </c>
      <c r="R39" s="941"/>
      <c r="S39" s="941"/>
      <c r="T39" s="909"/>
      <c r="U39" s="914" t="s">
        <v>2091</v>
      </c>
      <c r="V39" s="914" t="s">
        <v>118</v>
      </c>
      <c r="W39" s="914" t="s">
        <v>68</v>
      </c>
      <c r="X39" s="914" t="s">
        <v>69</v>
      </c>
      <c r="Y39" s="914" t="s">
        <v>70</v>
      </c>
      <c r="Z39" s="914" t="s">
        <v>71</v>
      </c>
      <c r="AA39" s="916" t="s">
        <v>86</v>
      </c>
      <c r="AB39" s="917"/>
      <c r="AD39" s="925" t="s">
        <v>57</v>
      </c>
      <c r="AE39" s="908" t="s">
        <v>117</v>
      </c>
      <c r="AF39" s="941"/>
      <c r="AG39" s="941"/>
      <c r="AH39" s="909"/>
      <c r="AI39" s="914" t="s">
        <v>2091</v>
      </c>
      <c r="AJ39" s="914" t="s">
        <v>118</v>
      </c>
      <c r="AK39" s="914" t="s">
        <v>68</v>
      </c>
      <c r="AL39" s="914" t="s">
        <v>69</v>
      </c>
      <c r="AM39" s="914" t="s">
        <v>70</v>
      </c>
      <c r="AN39" s="914" t="s">
        <v>71</v>
      </c>
      <c r="AO39" s="916" t="s">
        <v>86</v>
      </c>
      <c r="AP39" s="917"/>
    </row>
    <row r="40" spans="1:42" ht="15" customHeight="1">
      <c r="B40" s="926"/>
      <c r="C40" s="928"/>
      <c r="D40" s="942"/>
      <c r="E40" s="942"/>
      <c r="F40" s="929"/>
      <c r="G40" s="915"/>
      <c r="H40" s="915"/>
      <c r="I40" s="915"/>
      <c r="J40" s="915"/>
      <c r="K40" s="915"/>
      <c r="L40" s="915"/>
      <c r="M40" s="918"/>
      <c r="N40" s="919"/>
      <c r="P40" s="926"/>
      <c r="Q40" s="928"/>
      <c r="R40" s="942"/>
      <c r="S40" s="942"/>
      <c r="T40" s="929"/>
      <c r="U40" s="915"/>
      <c r="V40" s="915"/>
      <c r="W40" s="915"/>
      <c r="X40" s="915"/>
      <c r="Y40" s="915"/>
      <c r="Z40" s="915"/>
      <c r="AA40" s="918"/>
      <c r="AB40" s="919"/>
      <c r="AD40" s="926"/>
      <c r="AE40" s="928"/>
      <c r="AF40" s="942"/>
      <c r="AG40" s="942"/>
      <c r="AH40" s="929"/>
      <c r="AI40" s="915"/>
      <c r="AJ40" s="915"/>
      <c r="AK40" s="915"/>
      <c r="AL40" s="915"/>
      <c r="AM40" s="915"/>
      <c r="AN40" s="915"/>
      <c r="AO40" s="918"/>
      <c r="AP40" s="919"/>
    </row>
    <row r="41" spans="1:42" ht="15" customHeight="1">
      <c r="B41" s="926"/>
      <c r="C41" s="928"/>
      <c r="D41" s="942"/>
      <c r="E41" s="942"/>
      <c r="F41" s="929"/>
      <c r="G41" s="915"/>
      <c r="H41" s="915"/>
      <c r="I41" s="922"/>
      <c r="J41" s="922"/>
      <c r="K41" s="922"/>
      <c r="L41" s="915"/>
      <c r="M41" s="920"/>
      <c r="N41" s="921"/>
      <c r="P41" s="926"/>
      <c r="Q41" s="928"/>
      <c r="R41" s="942"/>
      <c r="S41" s="942"/>
      <c r="T41" s="929"/>
      <c r="U41" s="915"/>
      <c r="V41" s="915"/>
      <c r="W41" s="922"/>
      <c r="X41" s="922"/>
      <c r="Y41" s="922"/>
      <c r="Z41" s="915"/>
      <c r="AA41" s="920"/>
      <c r="AB41" s="921"/>
      <c r="AD41" s="926"/>
      <c r="AE41" s="928"/>
      <c r="AF41" s="942"/>
      <c r="AG41" s="942"/>
      <c r="AH41" s="929"/>
      <c r="AI41" s="915"/>
      <c r="AJ41" s="915"/>
      <c r="AK41" s="922"/>
      <c r="AL41" s="922"/>
      <c r="AM41" s="922"/>
      <c r="AN41" s="915"/>
      <c r="AO41" s="920"/>
      <c r="AP41" s="921"/>
    </row>
    <row r="42" spans="1:42" ht="15" customHeight="1">
      <c r="B42" s="927"/>
      <c r="C42" s="910"/>
      <c r="D42" s="943"/>
      <c r="E42" s="943"/>
      <c r="F42" s="911"/>
      <c r="G42" s="922"/>
      <c r="H42" s="922"/>
      <c r="I42" s="571" t="s">
        <v>73</v>
      </c>
      <c r="J42" s="947" t="s">
        <v>2092</v>
      </c>
      <c r="K42" s="948"/>
      <c r="L42" s="922"/>
      <c r="M42" s="545" t="s">
        <v>2085</v>
      </c>
      <c r="N42" s="545" t="s">
        <v>2086</v>
      </c>
      <c r="P42" s="927"/>
      <c r="Q42" s="910"/>
      <c r="R42" s="943"/>
      <c r="S42" s="943"/>
      <c r="T42" s="911"/>
      <c r="U42" s="922"/>
      <c r="V42" s="922"/>
      <c r="W42" s="571" t="s">
        <v>73</v>
      </c>
      <c r="X42" s="947" t="s">
        <v>2092</v>
      </c>
      <c r="Y42" s="948"/>
      <c r="Z42" s="922"/>
      <c r="AA42" s="545" t="s">
        <v>2085</v>
      </c>
      <c r="AB42" s="545" t="s">
        <v>2086</v>
      </c>
      <c r="AD42" s="927"/>
      <c r="AE42" s="910"/>
      <c r="AF42" s="943"/>
      <c r="AG42" s="943"/>
      <c r="AH42" s="911"/>
      <c r="AI42" s="922"/>
      <c r="AJ42" s="922"/>
      <c r="AK42" s="571" t="s">
        <v>73</v>
      </c>
      <c r="AL42" s="947" t="s">
        <v>2092</v>
      </c>
      <c r="AM42" s="948"/>
      <c r="AN42" s="922"/>
      <c r="AO42" s="545" t="s">
        <v>2085</v>
      </c>
      <c r="AP42" s="545" t="s">
        <v>2086</v>
      </c>
    </row>
    <row r="43" spans="1:42" ht="15" customHeight="1">
      <c r="B43" s="361">
        <v>1</v>
      </c>
      <c r="C43" s="923" t="s">
        <v>121</v>
      </c>
      <c r="D43" s="956"/>
      <c r="E43" s="956"/>
      <c r="F43" s="924"/>
      <c r="G43" s="323"/>
      <c r="H43" s="546">
        <v>2</v>
      </c>
      <c r="I43" s="572" t="s">
        <v>75</v>
      </c>
      <c r="J43" s="573">
        <f>IF(I43="Jah",LOOKUP(C43,'HT-Jäätmed (M3)'!$B$5:$B$11,'HT-Jäätmed (M3)'!$E$5:$E$11),IF(I43="Ei","x "))</f>
        <v>28.660930157031785</v>
      </c>
      <c r="K43" s="547"/>
      <c r="L43" s="574" t="str">
        <f>IF(I43="Jah", LOOKUP(C43,'HT-Jäätmed (M3)'!$B$5:$B$11,'HT-Jäätmed (M3)'!$G$5:$G$11),IF(I43= "Ei", " "))</f>
        <v>Eeldused: jäätmeveoki kütusekulu 0,39 l/km, kogumisringi pikkus keskmiselt 250 km, keskmine koorma kaal 9 t, raskeveoki (diisel) eriheitetegur - KHG inventuuri aruanne 2022</v>
      </c>
      <c r="M43" s="549">
        <f>IF(I43="Jah",H43*(J43), IF(I43="Ei",H43*K43))</f>
        <v>57.321860314063571</v>
      </c>
      <c r="N43" s="549">
        <f>M43*0.001</f>
        <v>5.7321860314063569E-2</v>
      </c>
      <c r="P43" s="361">
        <v>1</v>
      </c>
      <c r="Q43" s="923" t="s">
        <v>1563</v>
      </c>
      <c r="R43" s="956"/>
      <c r="S43" s="956"/>
      <c r="T43" s="924"/>
      <c r="U43" s="323"/>
      <c r="V43" s="546">
        <v>1</v>
      </c>
      <c r="W43" s="572" t="s">
        <v>75</v>
      </c>
      <c r="X43" s="573">
        <f>IF(W43="Jah",LOOKUP(Q43,'HT-Jäätmed (M3)'!$B$5:$B$11,'HT-Jäätmed (M3)'!$E$5:$E$11),IF(W43="Ei","x "))</f>
        <v>620</v>
      </c>
      <c r="Y43" s="547"/>
      <c r="Z43" s="574" t="str">
        <f>IF(W43="Jah", LOOKUP(Q43,'HT-Jäätmed (M3)'!$B$5:$B$11,'HT-Jäätmed (M3)'!$G$5:$G$11),IF(W43= "Ei", " "))</f>
        <v>Arvutuslik (kasutatakse prügilasse ladestamise eriheitetegurit)</v>
      </c>
      <c r="AA43" s="549">
        <f t="shared" ref="AA43:AA52" si="0">IF(W43="Jah",V43*(X43), IF(W43="Ei",V43*Y43))</f>
        <v>620</v>
      </c>
      <c r="AB43" s="549">
        <f t="shared" ref="AB43:AB52" si="1">AA43*0.001</f>
        <v>0.62</v>
      </c>
      <c r="AD43" s="361"/>
      <c r="AE43" s="923"/>
      <c r="AF43" s="956"/>
      <c r="AG43" s="956"/>
      <c r="AH43" s="924"/>
      <c r="AI43" s="323"/>
      <c r="AJ43" s="546"/>
      <c r="AK43" s="572" t="s">
        <v>75</v>
      </c>
      <c r="AL43" s="573" t="e">
        <f>IF(AK43="Jah",LOOKUP(AE43,'HT-Jäätmed (M3)'!$B$5:$B$11,'HT-Jäätmed (M3)'!$E$5:$E$11),IF(AK43="Ei","x "))</f>
        <v>#N/A</v>
      </c>
      <c r="AM43" s="547"/>
      <c r="AN43" s="574" t="e">
        <f>IF(AK43="Jah", LOOKUP(AE43,'HT-Jäätmed (M3)'!$B$5:$B$11,'HT-Jäätmed (M3)'!$G$5:$G$11),IF(AK43= "Ei", " "))</f>
        <v>#N/A</v>
      </c>
      <c r="AO43" s="549" t="e">
        <f t="shared" ref="AO43:AO52" si="2">IF(AK43="Jah",AJ43*(AL43), IF(AK43="Ei",AJ43*AM43))</f>
        <v>#N/A</v>
      </c>
      <c r="AP43" s="549" t="e">
        <f t="shared" ref="AP43:AP52" si="3">AO43*0.001</f>
        <v>#N/A</v>
      </c>
    </row>
    <row r="44" spans="1:42" ht="15" customHeight="1">
      <c r="B44" s="361">
        <v>1</v>
      </c>
      <c r="C44" s="923" t="s">
        <v>120</v>
      </c>
      <c r="D44" s="956"/>
      <c r="E44" s="956"/>
      <c r="F44" s="924"/>
      <c r="G44" s="323"/>
      <c r="H44" s="546">
        <v>1</v>
      </c>
      <c r="I44" s="572" t="s">
        <v>75</v>
      </c>
      <c r="J44" s="573">
        <f>IF(I44="Jah",LOOKUP(C44,'HT-Jäätmed (M3)'!$B$5:$B$11,'HT-Jäätmed (M3)'!$E$5:$E$11),IF(I44="Ei","x "))</f>
        <v>28.660930157031785</v>
      </c>
      <c r="K44" s="547"/>
      <c r="L44" s="574" t="str">
        <f>IF(I44="Jah", LOOKUP(C44,'HT-Jäätmed (M3)'!$B$5:$B$11,'HT-Jäätmed (M3)'!$G$5:$G$11),IF(I44= "Ei", " "))</f>
        <v>Eeldused: jäätmeveoki kütusekulu 0,39 l/km, kogumisringi pikkus keskmiselt 250 km, keskmine koorma kaal 9 t, raskeveoki (diisel) eriheitetegur - KHG inventuuri aruanne 2022</v>
      </c>
      <c r="M44" s="549">
        <f t="shared" ref="M44:M52" si="4">IF(I44="Jah",H44*(J44), IF(I44="Ei",H44*K44))</f>
        <v>28.660930157031785</v>
      </c>
      <c r="N44" s="549">
        <f t="shared" ref="N44:N52" si="5">M44*0.001</f>
        <v>2.8660930157031785E-2</v>
      </c>
      <c r="P44" s="361"/>
      <c r="Q44" s="923"/>
      <c r="R44" s="956"/>
      <c r="S44" s="956"/>
      <c r="T44" s="924"/>
      <c r="U44" s="323"/>
      <c r="V44" s="546"/>
      <c r="W44" s="572" t="s">
        <v>75</v>
      </c>
      <c r="X44" s="573" t="e">
        <f>IF(W44="Jah",LOOKUP(Q44,'HT-Jäätmed (M3)'!$B$5:$B$11,'HT-Jäätmed (M3)'!$E$5:$E$11),IF(W44="Ei","x "))</f>
        <v>#N/A</v>
      </c>
      <c r="Y44" s="547"/>
      <c r="Z44" s="574" t="e">
        <f>IF(W44="Jah", LOOKUP(Q44,'HT-Jäätmed (M3)'!$B$5:$B$11,'HT-Jäätmed (M3)'!$G$5:$G$11),IF(W44= "Ei", " "))</f>
        <v>#N/A</v>
      </c>
      <c r="AA44" s="549" t="e">
        <f t="shared" si="0"/>
        <v>#N/A</v>
      </c>
      <c r="AB44" s="549" t="e">
        <f t="shared" si="1"/>
        <v>#N/A</v>
      </c>
      <c r="AD44" s="361"/>
      <c r="AE44" s="923"/>
      <c r="AF44" s="956"/>
      <c r="AG44" s="956"/>
      <c r="AH44" s="924"/>
      <c r="AI44" s="323"/>
      <c r="AJ44" s="546"/>
      <c r="AK44" s="572" t="s">
        <v>75</v>
      </c>
      <c r="AL44" s="573" t="e">
        <f>IF(AK44="Jah",LOOKUP(AE44,'HT-Jäätmed (M3)'!$B$5:$B$11,'HT-Jäätmed (M3)'!$E$5:$E$11),IF(AK44="Ei","x "))</f>
        <v>#N/A</v>
      </c>
      <c r="AM44" s="547"/>
      <c r="AN44" s="574" t="e">
        <f>IF(AK44="Jah", LOOKUP(AE44,'HT-Jäätmed (M3)'!$B$5:$B$11,'HT-Jäätmed (M3)'!$G$5:$G$11),IF(AK44= "Ei", " "))</f>
        <v>#N/A</v>
      </c>
      <c r="AO44" s="549" t="e">
        <f t="shared" si="2"/>
        <v>#N/A</v>
      </c>
      <c r="AP44" s="549" t="e">
        <f t="shared" si="3"/>
        <v>#N/A</v>
      </c>
    </row>
    <row r="45" spans="1:42" ht="15" customHeight="1">
      <c r="A45" s="297"/>
      <c r="B45" s="575">
        <v>1</v>
      </c>
      <c r="C45" s="923" t="s">
        <v>1563</v>
      </c>
      <c r="D45" s="956"/>
      <c r="E45" s="956"/>
      <c r="F45" s="924"/>
      <c r="G45" s="323"/>
      <c r="H45" s="546">
        <v>2</v>
      </c>
      <c r="I45" s="572" t="s">
        <v>75</v>
      </c>
      <c r="J45" s="573">
        <f>IF(I45="Jah",LOOKUP(C45,'HT-Jäätmed (M3)'!$B$5:$B$11,'HT-Jäätmed (M3)'!$E$5:$E$11),IF(I45="Ei","x "))</f>
        <v>620</v>
      </c>
      <c r="K45" s="547"/>
      <c r="L45" s="574" t="str">
        <f>IF(I45="Jah", LOOKUP(C45,'HT-Jäätmed (M3)'!$B$5:$B$11,'HT-Jäätmed (M3)'!$G$5:$G$11),IF(I45= "Ei", " "))</f>
        <v>Arvutuslik (kasutatakse prügilasse ladestamise eriheitetegurit)</v>
      </c>
      <c r="M45" s="549">
        <f t="shared" si="4"/>
        <v>1240</v>
      </c>
      <c r="N45" s="549">
        <f t="shared" si="5"/>
        <v>1.24</v>
      </c>
      <c r="P45" s="575"/>
      <c r="Q45" s="923"/>
      <c r="R45" s="956"/>
      <c r="S45" s="956"/>
      <c r="T45" s="924"/>
      <c r="U45" s="323"/>
      <c r="V45" s="546"/>
      <c r="W45" s="572" t="s">
        <v>75</v>
      </c>
      <c r="X45" s="573" t="e">
        <f>IF(W45="Jah",LOOKUP(Q45,'HT-Jäätmed (M3)'!$B$5:$B$11,'HT-Jäätmed (M3)'!$E$5:$E$11),IF(W45="Ei","x "))</f>
        <v>#N/A</v>
      </c>
      <c r="Y45" s="547"/>
      <c r="Z45" s="574" t="e">
        <f>IF(W45="Jah", LOOKUP(Q45,'HT-Jäätmed (M3)'!$B$5:$B$11,'HT-Jäätmed (M3)'!$G$5:$G$11),IF(W45= "Ei", " "))</f>
        <v>#N/A</v>
      </c>
      <c r="AA45" s="549" t="e">
        <f t="shared" si="0"/>
        <v>#N/A</v>
      </c>
      <c r="AB45" s="549" t="e">
        <f t="shared" si="1"/>
        <v>#N/A</v>
      </c>
      <c r="AD45" s="575"/>
      <c r="AE45" s="923"/>
      <c r="AF45" s="956"/>
      <c r="AG45" s="956"/>
      <c r="AH45" s="924"/>
      <c r="AI45" s="323"/>
      <c r="AJ45" s="546"/>
      <c r="AK45" s="572" t="s">
        <v>75</v>
      </c>
      <c r="AL45" s="573" t="e">
        <f>IF(AK45="Jah",LOOKUP(AE45,'HT-Jäätmed (M3)'!$B$5:$B$11,'HT-Jäätmed (M3)'!$E$5:$E$11),IF(AK45="Ei","x "))</f>
        <v>#N/A</v>
      </c>
      <c r="AM45" s="547"/>
      <c r="AN45" s="574" t="e">
        <f>IF(AK45="Jah", LOOKUP(AE45,'HT-Jäätmed (M3)'!$B$5:$B$11,'HT-Jäätmed (M3)'!$G$5:$G$11),IF(AK45= "Ei", " "))</f>
        <v>#N/A</v>
      </c>
      <c r="AO45" s="549" t="e">
        <f t="shared" si="2"/>
        <v>#N/A</v>
      </c>
      <c r="AP45" s="549" t="e">
        <f t="shared" si="3"/>
        <v>#N/A</v>
      </c>
    </row>
    <row r="46" spans="1:42" ht="15" customHeight="1">
      <c r="A46" s="297"/>
      <c r="B46" s="575">
        <v>2</v>
      </c>
      <c r="C46" s="923" t="s">
        <v>1562</v>
      </c>
      <c r="D46" s="956"/>
      <c r="E46" s="956"/>
      <c r="F46" s="924"/>
      <c r="G46" s="323"/>
      <c r="H46" s="546">
        <v>2</v>
      </c>
      <c r="I46" s="572" t="s">
        <v>78</v>
      </c>
      <c r="J46" s="573" t="str">
        <f>IF(I46="Jah",LOOKUP(C46,'HT-Jäätmed (M3)'!$B$5:$B$11,'HT-Jäätmed (M3)'!$E$5:$E$11),IF(I46="Ei","x "))</f>
        <v xml:space="preserve">x </v>
      </c>
      <c r="K46" s="547">
        <v>600</v>
      </c>
      <c r="L46" s="574" t="str">
        <f>IF(I46="Jah", LOOKUP(C46,'HT-Jäätmed (M3)'!$B$5:$B$11,'HT-Jäätmed (M3)'!$G$5:$G$11),IF(I46= "Ei", " "))</f>
        <v xml:space="preserve"> </v>
      </c>
      <c r="M46" s="549">
        <f t="shared" si="4"/>
        <v>1200</v>
      </c>
      <c r="N46" s="549">
        <f t="shared" si="5"/>
        <v>1.2</v>
      </c>
      <c r="P46" s="575"/>
      <c r="Q46" s="923"/>
      <c r="R46" s="956"/>
      <c r="S46" s="956"/>
      <c r="T46" s="924"/>
      <c r="U46" s="323"/>
      <c r="V46" s="546"/>
      <c r="W46" s="572" t="s">
        <v>75</v>
      </c>
      <c r="X46" s="573" t="e">
        <f>IF(W46="Jah",LOOKUP(Q46,'HT-Jäätmed (M3)'!$B$5:$B$11,'HT-Jäätmed (M3)'!$E$5:$E$11),IF(W46="Ei","x "))</f>
        <v>#N/A</v>
      </c>
      <c r="Y46" s="547"/>
      <c r="Z46" s="574" t="e">
        <f>IF(W46="Jah", LOOKUP(Q46,'HT-Jäätmed (M3)'!$B$5:$B$11,'HT-Jäätmed (M3)'!$G$5:$G$11),IF(W46= "Ei", " "))</f>
        <v>#N/A</v>
      </c>
      <c r="AA46" s="549" t="e">
        <f t="shared" si="0"/>
        <v>#N/A</v>
      </c>
      <c r="AB46" s="549" t="e">
        <f t="shared" si="1"/>
        <v>#N/A</v>
      </c>
      <c r="AD46" s="575"/>
      <c r="AE46" s="923"/>
      <c r="AF46" s="956"/>
      <c r="AG46" s="956"/>
      <c r="AH46" s="924"/>
      <c r="AI46" s="323"/>
      <c r="AJ46" s="546"/>
      <c r="AK46" s="572" t="s">
        <v>75</v>
      </c>
      <c r="AL46" s="573" t="e">
        <f>IF(AK46="Jah",LOOKUP(AE46,'HT-Jäätmed (M3)'!$B$5:$B$11,'HT-Jäätmed (M3)'!$E$5:$E$11),IF(AK46="Ei","x "))</f>
        <v>#N/A</v>
      </c>
      <c r="AM46" s="547"/>
      <c r="AN46" s="574" t="e">
        <f>IF(AK46="Jah", LOOKUP(AE46,'HT-Jäätmed (M3)'!$B$5:$B$11,'HT-Jäätmed (M3)'!$G$5:$G$11),IF(AK46= "Ei", " "))</f>
        <v>#N/A</v>
      </c>
      <c r="AO46" s="549" t="e">
        <f t="shared" si="2"/>
        <v>#N/A</v>
      </c>
      <c r="AP46" s="549" t="e">
        <f t="shared" si="3"/>
        <v>#N/A</v>
      </c>
    </row>
    <row r="47" spans="1:42" ht="15" customHeight="1">
      <c r="A47" s="297"/>
      <c r="B47" s="575"/>
      <c r="C47" s="923"/>
      <c r="D47" s="956"/>
      <c r="E47" s="956"/>
      <c r="F47" s="924"/>
      <c r="G47" s="323"/>
      <c r="H47" s="546"/>
      <c r="I47" s="572" t="s">
        <v>75</v>
      </c>
      <c r="J47" s="573" t="e">
        <f>IF(I47="Jah",LOOKUP(C47,'HT-Jäätmed (M3)'!$B$5:$B$11,'HT-Jäätmed (M3)'!$E$5:$E$11),IF(I47="Ei","x "))</f>
        <v>#N/A</v>
      </c>
      <c r="K47" s="547"/>
      <c r="L47" s="574" t="e">
        <f>IF(I47="Jah", LOOKUP(C47,'HT-Jäätmed (M3)'!$B$5:$B$11,'HT-Jäätmed (M3)'!$G$5:$G$11),IF(I47= "Ei", " "))</f>
        <v>#N/A</v>
      </c>
      <c r="M47" s="549" t="e">
        <f t="shared" si="4"/>
        <v>#N/A</v>
      </c>
      <c r="N47" s="549" t="e">
        <f t="shared" si="5"/>
        <v>#N/A</v>
      </c>
      <c r="P47" s="575"/>
      <c r="Q47" s="923"/>
      <c r="R47" s="956"/>
      <c r="S47" s="956"/>
      <c r="T47" s="924"/>
      <c r="U47" s="323"/>
      <c r="V47" s="546"/>
      <c r="W47" s="572" t="s">
        <v>75</v>
      </c>
      <c r="X47" s="573" t="e">
        <f>IF(W47="Jah",LOOKUP(Q47,'HT-Jäätmed (M3)'!$B$5:$B$11,'HT-Jäätmed (M3)'!$E$5:$E$11),IF(W47="Ei","x "))</f>
        <v>#N/A</v>
      </c>
      <c r="Y47" s="547"/>
      <c r="Z47" s="574" t="e">
        <f>IF(W47="Jah", LOOKUP(Q47,'HT-Jäätmed (M3)'!$B$5:$B$11,'HT-Jäätmed (M3)'!$G$5:$G$11),IF(W47= "Ei", " "))</f>
        <v>#N/A</v>
      </c>
      <c r="AA47" s="549" t="e">
        <f t="shared" si="0"/>
        <v>#N/A</v>
      </c>
      <c r="AB47" s="549" t="e">
        <f t="shared" si="1"/>
        <v>#N/A</v>
      </c>
      <c r="AD47" s="575"/>
      <c r="AE47" s="923"/>
      <c r="AF47" s="956"/>
      <c r="AG47" s="956"/>
      <c r="AH47" s="924"/>
      <c r="AI47" s="323"/>
      <c r="AJ47" s="546"/>
      <c r="AK47" s="572" t="s">
        <v>75</v>
      </c>
      <c r="AL47" s="573" t="e">
        <f>IF(AK47="Jah",LOOKUP(AE47,'HT-Jäätmed (M3)'!$B$5:$B$11,'HT-Jäätmed (M3)'!$E$5:$E$11),IF(AK47="Ei","x "))</f>
        <v>#N/A</v>
      </c>
      <c r="AM47" s="547"/>
      <c r="AN47" s="574" t="e">
        <f>IF(AK47="Jah", LOOKUP(AE47,'HT-Jäätmed (M3)'!$B$5:$B$11,'HT-Jäätmed (M3)'!$G$5:$G$11),IF(AK47= "Ei", " "))</f>
        <v>#N/A</v>
      </c>
      <c r="AO47" s="549" t="e">
        <f t="shared" si="2"/>
        <v>#N/A</v>
      </c>
      <c r="AP47" s="549" t="e">
        <f t="shared" si="3"/>
        <v>#N/A</v>
      </c>
    </row>
    <row r="48" spans="1:42" ht="15" customHeight="1">
      <c r="A48" s="297"/>
      <c r="B48" s="361"/>
      <c r="C48" s="923"/>
      <c r="D48" s="956"/>
      <c r="E48" s="956"/>
      <c r="F48" s="924"/>
      <c r="G48" s="323"/>
      <c r="H48" s="546"/>
      <c r="I48" s="572" t="s">
        <v>75</v>
      </c>
      <c r="J48" s="573" t="e">
        <f>IF(I48="Jah",LOOKUP(C48,'HT-Jäätmed (M3)'!$B$5:$B$11,'HT-Jäätmed (M3)'!$E$5:$E$11),IF(I48="Ei","x "))</f>
        <v>#N/A</v>
      </c>
      <c r="K48" s="547"/>
      <c r="L48" s="574" t="e">
        <f>IF(I48="Jah", LOOKUP(C48,'HT-Jäätmed (M3)'!$B$5:$B$11,'HT-Jäätmed (M3)'!$G$5:$G$11),IF(I48= "Ei", " "))</f>
        <v>#N/A</v>
      </c>
      <c r="M48" s="549" t="e">
        <f t="shared" si="4"/>
        <v>#N/A</v>
      </c>
      <c r="N48" s="549" t="e">
        <f t="shared" si="5"/>
        <v>#N/A</v>
      </c>
      <c r="P48" s="361"/>
      <c r="Q48" s="923"/>
      <c r="R48" s="956"/>
      <c r="S48" s="956"/>
      <c r="T48" s="924"/>
      <c r="U48" s="323"/>
      <c r="V48" s="546"/>
      <c r="W48" s="572" t="s">
        <v>75</v>
      </c>
      <c r="X48" s="573" t="e">
        <f>IF(W48="Jah",LOOKUP(Q48,'HT-Jäätmed (M3)'!$B$5:$B$11,'HT-Jäätmed (M3)'!$E$5:$E$11),IF(W48="Ei","x "))</f>
        <v>#N/A</v>
      </c>
      <c r="Y48" s="547"/>
      <c r="Z48" s="574" t="e">
        <f>IF(W48="Jah", LOOKUP(Q48,'HT-Jäätmed (M3)'!$B$5:$B$11,'HT-Jäätmed (M3)'!$G$5:$G$11),IF(W48= "Ei", " "))</f>
        <v>#N/A</v>
      </c>
      <c r="AA48" s="549" t="e">
        <f t="shared" si="0"/>
        <v>#N/A</v>
      </c>
      <c r="AB48" s="549" t="e">
        <f t="shared" si="1"/>
        <v>#N/A</v>
      </c>
      <c r="AD48" s="361"/>
      <c r="AE48" s="923"/>
      <c r="AF48" s="956"/>
      <c r="AG48" s="956"/>
      <c r="AH48" s="924"/>
      <c r="AI48" s="323"/>
      <c r="AJ48" s="546"/>
      <c r="AK48" s="572" t="s">
        <v>75</v>
      </c>
      <c r="AL48" s="573" t="e">
        <f>IF(AK48="Jah",LOOKUP(AE48,'HT-Jäätmed (M3)'!$B$5:$B$11,'HT-Jäätmed (M3)'!$E$5:$E$11),IF(AK48="Ei","x "))</f>
        <v>#N/A</v>
      </c>
      <c r="AM48" s="547"/>
      <c r="AN48" s="574" t="e">
        <f>IF(AK48="Jah", LOOKUP(AE48,'HT-Jäätmed (M3)'!$B$5:$B$11,'HT-Jäätmed (M3)'!$G$5:$G$11),IF(AK48= "Ei", " "))</f>
        <v>#N/A</v>
      </c>
      <c r="AO48" s="549" t="e">
        <f t="shared" si="2"/>
        <v>#N/A</v>
      </c>
      <c r="AP48" s="549" t="e">
        <f t="shared" si="3"/>
        <v>#N/A</v>
      </c>
    </row>
    <row r="49" spans="1:42" ht="15" customHeight="1">
      <c r="B49" s="361"/>
      <c r="C49" s="923"/>
      <c r="D49" s="956"/>
      <c r="E49" s="956"/>
      <c r="F49" s="924"/>
      <c r="G49" s="323"/>
      <c r="H49" s="546"/>
      <c r="I49" s="572" t="s">
        <v>75</v>
      </c>
      <c r="J49" s="573" t="e">
        <f>IF(I49="Jah",LOOKUP(C49,'HT-Jäätmed (M3)'!$B$5:$B$11,'HT-Jäätmed (M3)'!$E$5:$E$11),IF(I49="Ei","x "))</f>
        <v>#N/A</v>
      </c>
      <c r="K49" s="547"/>
      <c r="L49" s="574" t="e">
        <f>IF(I49="Jah", LOOKUP(C49,'HT-Jäätmed (M3)'!$B$5:$B$11,'HT-Jäätmed (M3)'!$G$5:$G$11),IF(I49= "Ei", " "))</f>
        <v>#N/A</v>
      </c>
      <c r="M49" s="549" t="e">
        <f t="shared" si="4"/>
        <v>#N/A</v>
      </c>
      <c r="N49" s="549" t="e">
        <f t="shared" si="5"/>
        <v>#N/A</v>
      </c>
      <c r="P49" s="361"/>
      <c r="Q49" s="923"/>
      <c r="R49" s="956"/>
      <c r="S49" s="956"/>
      <c r="T49" s="924"/>
      <c r="U49" s="323"/>
      <c r="V49" s="546"/>
      <c r="W49" s="572" t="s">
        <v>75</v>
      </c>
      <c r="X49" s="573" t="e">
        <f>IF(W49="Jah",LOOKUP(Q49,'HT-Jäätmed (M3)'!$B$5:$B$11,'HT-Jäätmed (M3)'!$E$5:$E$11),IF(W49="Ei","x "))</f>
        <v>#N/A</v>
      </c>
      <c r="Y49" s="547"/>
      <c r="Z49" s="574" t="e">
        <f>IF(W49="Jah", LOOKUP(Q49,'HT-Jäätmed (M3)'!$B$5:$B$11,'HT-Jäätmed (M3)'!$G$5:$G$11),IF(W49= "Ei", " "))</f>
        <v>#N/A</v>
      </c>
      <c r="AA49" s="549" t="e">
        <f t="shared" si="0"/>
        <v>#N/A</v>
      </c>
      <c r="AB49" s="549" t="e">
        <f t="shared" si="1"/>
        <v>#N/A</v>
      </c>
      <c r="AD49" s="361"/>
      <c r="AE49" s="923"/>
      <c r="AF49" s="956"/>
      <c r="AG49" s="956"/>
      <c r="AH49" s="924"/>
      <c r="AI49" s="323"/>
      <c r="AJ49" s="546"/>
      <c r="AK49" s="572" t="s">
        <v>75</v>
      </c>
      <c r="AL49" s="573" t="e">
        <f>IF(AK49="Jah",LOOKUP(AE49,'HT-Jäätmed (M3)'!$B$5:$B$11,'HT-Jäätmed (M3)'!$E$5:$E$11),IF(AK49="Ei","x "))</f>
        <v>#N/A</v>
      </c>
      <c r="AM49" s="547"/>
      <c r="AN49" s="574" t="e">
        <f>IF(AK49="Jah", LOOKUP(AE49,'HT-Jäätmed (M3)'!$B$5:$B$11,'HT-Jäätmed (M3)'!$G$5:$G$11),IF(AK49= "Ei", " "))</f>
        <v>#N/A</v>
      </c>
      <c r="AO49" s="549" t="e">
        <f t="shared" si="2"/>
        <v>#N/A</v>
      </c>
      <c r="AP49" s="549" t="e">
        <f t="shared" si="3"/>
        <v>#N/A</v>
      </c>
    </row>
    <row r="50" spans="1:42" ht="15" customHeight="1">
      <c r="B50" s="361"/>
      <c r="C50" s="923"/>
      <c r="D50" s="956"/>
      <c r="E50" s="956"/>
      <c r="F50" s="924"/>
      <c r="G50" s="323"/>
      <c r="H50" s="546"/>
      <c r="I50" s="572" t="s">
        <v>75</v>
      </c>
      <c r="J50" s="573" t="e">
        <f>IF(I50="Jah",LOOKUP(C50,'HT-Jäätmed (M3)'!$B$5:$B$11,'HT-Jäätmed (M3)'!$E$5:$E$11),IF(I50="Ei","x "))</f>
        <v>#N/A</v>
      </c>
      <c r="K50" s="547"/>
      <c r="L50" s="574" t="e">
        <f>IF(I50="Jah", LOOKUP(C50,'HT-Jäätmed (M3)'!$B$5:$B$11,'HT-Jäätmed (M3)'!$G$5:$G$11),IF(I50= "Ei", " "))</f>
        <v>#N/A</v>
      </c>
      <c r="M50" s="549" t="e">
        <f t="shared" si="4"/>
        <v>#N/A</v>
      </c>
      <c r="N50" s="549" t="e">
        <f t="shared" si="5"/>
        <v>#N/A</v>
      </c>
      <c r="P50" s="361"/>
      <c r="Q50" s="923"/>
      <c r="R50" s="956"/>
      <c r="S50" s="956"/>
      <c r="T50" s="924"/>
      <c r="U50" s="323"/>
      <c r="V50" s="546"/>
      <c r="W50" s="572" t="s">
        <v>75</v>
      </c>
      <c r="X50" s="573" t="e">
        <f>IF(W50="Jah",LOOKUP(Q50,'HT-Jäätmed (M3)'!$B$5:$B$11,'HT-Jäätmed (M3)'!$E$5:$E$11),IF(W50="Ei","x "))</f>
        <v>#N/A</v>
      </c>
      <c r="Y50" s="547"/>
      <c r="Z50" s="574" t="e">
        <f>IF(W50="Jah", LOOKUP(Q50,'HT-Jäätmed (M3)'!$B$5:$B$11,'HT-Jäätmed (M3)'!$G$5:$G$11),IF(W50= "Ei", " "))</f>
        <v>#N/A</v>
      </c>
      <c r="AA50" s="549" t="e">
        <f t="shared" si="0"/>
        <v>#N/A</v>
      </c>
      <c r="AB50" s="549" t="e">
        <f t="shared" si="1"/>
        <v>#N/A</v>
      </c>
      <c r="AD50" s="361"/>
      <c r="AE50" s="923"/>
      <c r="AF50" s="956"/>
      <c r="AG50" s="956"/>
      <c r="AH50" s="924"/>
      <c r="AI50" s="323"/>
      <c r="AJ50" s="546"/>
      <c r="AK50" s="572" t="s">
        <v>75</v>
      </c>
      <c r="AL50" s="573" t="e">
        <f>IF(AK50="Jah",LOOKUP(AE50,'HT-Jäätmed (M3)'!$B$5:$B$11,'HT-Jäätmed (M3)'!$E$5:$E$11),IF(AK50="Ei","x "))</f>
        <v>#N/A</v>
      </c>
      <c r="AM50" s="547"/>
      <c r="AN50" s="574" t="e">
        <f>IF(AK50="Jah", LOOKUP(AE50,'HT-Jäätmed (M3)'!$B$5:$B$11,'HT-Jäätmed (M3)'!$G$5:$G$11),IF(AK50= "Ei", " "))</f>
        <v>#N/A</v>
      </c>
      <c r="AO50" s="549" t="e">
        <f t="shared" si="2"/>
        <v>#N/A</v>
      </c>
      <c r="AP50" s="549" t="e">
        <f t="shared" si="3"/>
        <v>#N/A</v>
      </c>
    </row>
    <row r="51" spans="1:42" ht="15" customHeight="1">
      <c r="B51" s="361"/>
      <c r="C51" s="923"/>
      <c r="D51" s="956"/>
      <c r="E51" s="956"/>
      <c r="F51" s="924"/>
      <c r="G51" s="323"/>
      <c r="H51" s="546"/>
      <c r="I51" s="572" t="s">
        <v>75</v>
      </c>
      <c r="J51" s="573" t="e">
        <f>IF(I51="Jah",LOOKUP(C51,'HT-Jäätmed (M3)'!$B$5:$B$11,'HT-Jäätmed (M3)'!$E$5:$E$11),IF(I51="Ei","x "))</f>
        <v>#N/A</v>
      </c>
      <c r="K51" s="547"/>
      <c r="L51" s="574" t="e">
        <f>IF(I51="Jah", LOOKUP(C51,'HT-Jäätmed (M3)'!$B$5:$B$11,'HT-Jäätmed (M3)'!$G$5:$G$11),IF(I51= "Ei", " "))</f>
        <v>#N/A</v>
      </c>
      <c r="M51" s="549" t="e">
        <f t="shared" si="4"/>
        <v>#N/A</v>
      </c>
      <c r="N51" s="549" t="e">
        <f t="shared" si="5"/>
        <v>#N/A</v>
      </c>
      <c r="P51" s="361"/>
      <c r="Q51" s="923"/>
      <c r="R51" s="956"/>
      <c r="S51" s="956"/>
      <c r="T51" s="924"/>
      <c r="U51" s="323"/>
      <c r="V51" s="546"/>
      <c r="W51" s="572" t="s">
        <v>75</v>
      </c>
      <c r="X51" s="573" t="e">
        <f>IF(W51="Jah",LOOKUP(Q51,'HT-Jäätmed (M3)'!$B$5:$B$11,'HT-Jäätmed (M3)'!$E$5:$E$11),IF(W51="Ei","x "))</f>
        <v>#N/A</v>
      </c>
      <c r="Y51" s="547"/>
      <c r="Z51" s="574" t="e">
        <f>IF(W51="Jah", LOOKUP(Q51,'HT-Jäätmed (M3)'!$B$5:$B$11,'HT-Jäätmed (M3)'!$G$5:$G$11),IF(W51= "Ei", " "))</f>
        <v>#N/A</v>
      </c>
      <c r="AA51" s="549" t="e">
        <f t="shared" si="0"/>
        <v>#N/A</v>
      </c>
      <c r="AB51" s="549" t="e">
        <f t="shared" si="1"/>
        <v>#N/A</v>
      </c>
      <c r="AD51" s="361"/>
      <c r="AE51" s="923"/>
      <c r="AF51" s="956"/>
      <c r="AG51" s="956"/>
      <c r="AH51" s="924"/>
      <c r="AI51" s="323"/>
      <c r="AJ51" s="546"/>
      <c r="AK51" s="572" t="s">
        <v>75</v>
      </c>
      <c r="AL51" s="573" t="e">
        <f>IF(AK51="Jah",LOOKUP(AE51,'HT-Jäätmed (M3)'!$B$5:$B$11,'HT-Jäätmed (M3)'!$E$5:$E$11),IF(AK51="Ei","x "))</f>
        <v>#N/A</v>
      </c>
      <c r="AM51" s="547"/>
      <c r="AN51" s="574" t="e">
        <f>IF(AK51="Jah", LOOKUP(AE51,'HT-Jäätmed (M3)'!$B$5:$B$11,'HT-Jäätmed (M3)'!$G$5:$G$11),IF(AK51= "Ei", " "))</f>
        <v>#N/A</v>
      </c>
      <c r="AO51" s="549" t="e">
        <f t="shared" si="2"/>
        <v>#N/A</v>
      </c>
      <c r="AP51" s="549" t="e">
        <f t="shared" si="3"/>
        <v>#N/A</v>
      </c>
    </row>
    <row r="52" spans="1:42" ht="15" customHeight="1" thickBot="1">
      <c r="B52" s="529"/>
      <c r="C52" s="930"/>
      <c r="D52" s="957"/>
      <c r="E52" s="957"/>
      <c r="F52" s="931"/>
      <c r="G52" s="453"/>
      <c r="H52" s="550"/>
      <c r="I52" s="576" t="s">
        <v>75</v>
      </c>
      <c r="J52" s="577" t="e">
        <f>IF(I52="Jah",LOOKUP(C52,'HT-Jäätmed (M3)'!$B$5:$B$11,'HT-Jäätmed (M3)'!$E$5:$E$11),IF(I52="Ei","x "))</f>
        <v>#N/A</v>
      </c>
      <c r="K52" s="553"/>
      <c r="L52" s="578" t="e">
        <f>IF(I52="Jah", LOOKUP(C52,'HT-Jäätmed (M3)'!$B$5:$B$11,'HT-Jäätmed (M3)'!$G$5:$G$11),IF(I52= "Ei", " "))</f>
        <v>#N/A</v>
      </c>
      <c r="M52" s="552" t="e">
        <f t="shared" si="4"/>
        <v>#N/A</v>
      </c>
      <c r="N52" s="552" t="e">
        <f t="shared" si="5"/>
        <v>#N/A</v>
      </c>
      <c r="P52" s="529"/>
      <c r="Q52" s="930"/>
      <c r="R52" s="957"/>
      <c r="S52" s="957"/>
      <c r="T52" s="931"/>
      <c r="U52" s="453"/>
      <c r="V52" s="550"/>
      <c r="W52" s="576" t="s">
        <v>75</v>
      </c>
      <c r="X52" s="577" t="e">
        <f>IF(W52="Jah",LOOKUP(Q52,'HT-Jäätmed (M3)'!$B$5:$B$11,'HT-Jäätmed (M3)'!$E$5:$E$11),IF(W52="Ei","x "))</f>
        <v>#N/A</v>
      </c>
      <c r="Y52" s="553"/>
      <c r="Z52" s="578" t="e">
        <f>IF(W52="Jah", LOOKUP(Q52,'HT-Jäätmed (M3)'!$B$5:$B$11,'HT-Jäätmed (M3)'!$G$5:$G$11),IF(W52= "Ei", " "))</f>
        <v>#N/A</v>
      </c>
      <c r="AA52" s="552" t="e">
        <f t="shared" si="0"/>
        <v>#N/A</v>
      </c>
      <c r="AB52" s="552" t="e">
        <f t="shared" si="1"/>
        <v>#N/A</v>
      </c>
      <c r="AD52" s="529"/>
      <c r="AE52" s="930"/>
      <c r="AF52" s="957"/>
      <c r="AG52" s="957"/>
      <c r="AH52" s="931"/>
      <c r="AI52" s="453"/>
      <c r="AJ52" s="550"/>
      <c r="AK52" s="576" t="s">
        <v>75</v>
      </c>
      <c r="AL52" s="577" t="e">
        <f>IF(AK52="Jah",LOOKUP(AE52,'HT-Jäätmed (M3)'!$B$5:$B$11,'HT-Jäätmed (M3)'!$E$5:$E$11),IF(AK52="Ei","x "))</f>
        <v>#N/A</v>
      </c>
      <c r="AM52" s="553"/>
      <c r="AN52" s="578" t="e">
        <f>IF(AK52="Jah", LOOKUP(AE52,'HT-Jäätmed (M3)'!$B$5:$B$11,'HT-Jäätmed (M3)'!$G$5:$G$11),IF(AK52= "Ei", " "))</f>
        <v>#N/A</v>
      </c>
      <c r="AO52" s="552" t="e">
        <f t="shared" si="2"/>
        <v>#N/A</v>
      </c>
      <c r="AP52" s="552" t="e">
        <f t="shared" si="3"/>
        <v>#N/A</v>
      </c>
    </row>
    <row r="53" spans="1:42" ht="15" customHeight="1" thickTop="1" thickBot="1">
      <c r="B53" s="579"/>
      <c r="C53" s="580"/>
      <c r="D53" s="580"/>
      <c r="E53" s="580"/>
      <c r="F53" s="580"/>
      <c r="G53" s="580"/>
      <c r="H53" s="580"/>
      <c r="I53" s="581"/>
      <c r="J53" s="581"/>
      <c r="K53" s="581"/>
      <c r="L53" s="533" t="s">
        <v>1592</v>
      </c>
      <c r="M53" s="534">
        <f>SUMIF(M43:M52,"&lt;&gt;#N/A")</f>
        <v>2525.9827904710955</v>
      </c>
      <c r="N53" s="582">
        <f>SUMIF(N43:N52,"&lt;&gt;#N/A")</f>
        <v>2.5259827904710956</v>
      </c>
      <c r="P53" s="579"/>
      <c r="Q53" s="580"/>
      <c r="R53" s="580"/>
      <c r="S53" s="580"/>
      <c r="T53" s="580"/>
      <c r="U53" s="580"/>
      <c r="V53" s="580"/>
      <c r="W53" s="581"/>
      <c r="X53" s="581"/>
      <c r="Y53" s="581"/>
      <c r="Z53" s="533" t="s">
        <v>1592</v>
      </c>
      <c r="AA53" s="534">
        <f>SUMIF(AA43:AA52,"&lt;&gt;#N/A")</f>
        <v>620</v>
      </c>
      <c r="AB53" s="582">
        <f>SUMIF(AB43:AB52,"&lt;&gt;#N/A")</f>
        <v>0.62</v>
      </c>
      <c r="AD53" s="579"/>
      <c r="AE53" s="580"/>
      <c r="AF53" s="580"/>
      <c r="AG53" s="580"/>
      <c r="AH53" s="580"/>
      <c r="AI53" s="580"/>
      <c r="AJ53" s="580"/>
      <c r="AK53" s="581"/>
      <c r="AL53" s="581"/>
      <c r="AM53" s="581"/>
      <c r="AN53" s="533" t="s">
        <v>1592</v>
      </c>
      <c r="AO53" s="534">
        <f>SUMIF(AO43:AO52,"&lt;&gt;#N/A")</f>
        <v>0</v>
      </c>
      <c r="AP53" s="582">
        <f>SUMIF(AP43:AP52,"&lt;&gt;#N/A")</f>
        <v>0</v>
      </c>
    </row>
    <row r="54" spans="1:42" ht="15" customHeight="1" thickTop="1"/>
    <row r="55" spans="1:42">
      <c r="B55" s="536"/>
      <c r="C55" s="537"/>
      <c r="D55" s="537"/>
      <c r="E55" s="537"/>
      <c r="F55" s="537"/>
      <c r="G55" s="537"/>
      <c r="H55" s="537"/>
      <c r="I55" s="537"/>
      <c r="J55" s="537"/>
      <c r="K55" s="537"/>
      <c r="L55" s="538" t="s">
        <v>1575</v>
      </c>
      <c r="M55" s="539">
        <f>SUMIF(B43:B52,1,M43:M52)</f>
        <v>1325.9827904710953</v>
      </c>
      <c r="N55" s="540">
        <f>M55*0.001</f>
        <v>1.3259827904710952</v>
      </c>
      <c r="P55" s="536"/>
      <c r="Q55" s="537"/>
      <c r="R55" s="537"/>
      <c r="S55" s="537"/>
      <c r="T55" s="537"/>
      <c r="U55" s="537"/>
      <c r="V55" s="537"/>
      <c r="W55" s="537"/>
      <c r="X55" s="537"/>
      <c r="Y55" s="537"/>
      <c r="Z55" s="538" t="s">
        <v>1575</v>
      </c>
      <c r="AA55" s="539">
        <f>SUMIF(P43:P52,1,AA43:AA52)</f>
        <v>620</v>
      </c>
      <c r="AB55" s="540">
        <f>AA55*0.001</f>
        <v>0.62</v>
      </c>
      <c r="AD55" s="536"/>
      <c r="AE55" s="537"/>
      <c r="AF55" s="537"/>
      <c r="AG55" s="537"/>
      <c r="AH55" s="537"/>
      <c r="AI55" s="537"/>
      <c r="AJ55" s="537"/>
      <c r="AK55" s="537"/>
      <c r="AL55" s="537"/>
      <c r="AM55" s="537"/>
      <c r="AN55" s="538" t="s">
        <v>1575</v>
      </c>
      <c r="AO55" s="539">
        <f>SUMIF(AD43:AD52,1,AO43:AO52)</f>
        <v>0</v>
      </c>
      <c r="AP55" s="540">
        <f>AO55*0.001</f>
        <v>0</v>
      </c>
    </row>
    <row r="56" spans="1:42">
      <c r="B56" s="536"/>
      <c r="C56" s="537"/>
      <c r="D56" s="537"/>
      <c r="E56" s="537"/>
      <c r="F56" s="537"/>
      <c r="G56" s="537"/>
      <c r="H56" s="537"/>
      <c r="I56" s="537"/>
      <c r="J56" s="537"/>
      <c r="K56" s="537"/>
      <c r="L56" s="538" t="s">
        <v>1576</v>
      </c>
      <c r="M56" s="539">
        <f>SUMIF(B43:B52,2,M43:M52)</f>
        <v>1200</v>
      </c>
      <c r="N56" s="540">
        <f t="shared" ref="N56:N57" si="6">M56*0.001</f>
        <v>1.2</v>
      </c>
      <c r="P56" s="536"/>
      <c r="Q56" s="537"/>
      <c r="R56" s="537"/>
      <c r="S56" s="537"/>
      <c r="T56" s="537"/>
      <c r="U56" s="537"/>
      <c r="V56" s="537"/>
      <c r="W56" s="537"/>
      <c r="X56" s="537"/>
      <c r="Y56" s="537"/>
      <c r="Z56" s="538" t="s">
        <v>1576</v>
      </c>
      <c r="AA56" s="539">
        <f>SUMIF(P43:P52,2,AA43:AA52)</f>
        <v>0</v>
      </c>
      <c r="AB56" s="540">
        <f>AA56*0.001</f>
        <v>0</v>
      </c>
      <c r="AD56" s="536"/>
      <c r="AE56" s="537"/>
      <c r="AF56" s="537"/>
      <c r="AG56" s="537"/>
      <c r="AH56" s="537"/>
      <c r="AI56" s="537"/>
      <c r="AJ56" s="537"/>
      <c r="AK56" s="537"/>
      <c r="AL56" s="537"/>
      <c r="AM56" s="537"/>
      <c r="AN56" s="538" t="s">
        <v>1576</v>
      </c>
      <c r="AO56" s="539">
        <f>SUMIF(AD43:AD52,2,AO43:AO52)</f>
        <v>0</v>
      </c>
      <c r="AP56" s="540">
        <f>AO56*0.001</f>
        <v>0</v>
      </c>
    </row>
    <row r="57" spans="1:42">
      <c r="B57" s="536"/>
      <c r="C57" s="537"/>
      <c r="D57" s="537"/>
      <c r="E57" s="537"/>
      <c r="F57" s="537"/>
      <c r="G57" s="537"/>
      <c r="H57" s="537"/>
      <c r="I57" s="537"/>
      <c r="J57" s="537"/>
      <c r="K57" s="537"/>
      <c r="L57" s="538" t="s">
        <v>1577</v>
      </c>
      <c r="M57" s="539">
        <f>SUMIF(B43:B52,3,M43:M52)</f>
        <v>0</v>
      </c>
      <c r="N57" s="540">
        <f t="shared" si="6"/>
        <v>0</v>
      </c>
      <c r="P57" s="536"/>
      <c r="Q57" s="537"/>
      <c r="R57" s="537"/>
      <c r="S57" s="537"/>
      <c r="T57" s="537"/>
      <c r="U57" s="537"/>
      <c r="V57" s="537"/>
      <c r="W57" s="537"/>
      <c r="X57" s="537"/>
      <c r="Y57" s="537"/>
      <c r="Z57" s="538" t="s">
        <v>1577</v>
      </c>
      <c r="AA57" s="539">
        <f>SUMIF(P43:P52,3,AA43:AA52)</f>
        <v>0</v>
      </c>
      <c r="AB57" s="540">
        <f>AA57*0.001</f>
        <v>0</v>
      </c>
      <c r="AD57" s="536"/>
      <c r="AE57" s="537"/>
      <c r="AF57" s="537"/>
      <c r="AG57" s="537"/>
      <c r="AH57" s="537"/>
      <c r="AI57" s="537"/>
      <c r="AJ57" s="537"/>
      <c r="AK57" s="537"/>
      <c r="AL57" s="537"/>
      <c r="AM57" s="537"/>
      <c r="AN57" s="538" t="s">
        <v>1577</v>
      </c>
      <c r="AO57" s="539">
        <f>SUMIF(AD43:AD52,3,AO43:AO52)</f>
        <v>0</v>
      </c>
      <c r="AP57" s="540">
        <f>AO57*0.001</f>
        <v>0</v>
      </c>
    </row>
    <row r="59" spans="1:42" ht="15" customHeight="1">
      <c r="A59" s="297"/>
      <c r="B59" s="296"/>
      <c r="C59" s="296"/>
      <c r="D59" s="296"/>
      <c r="E59" s="296"/>
    </row>
    <row r="67" spans="1:1" ht="15" customHeight="1">
      <c r="A67" s="297"/>
    </row>
  </sheetData>
  <mergeCells count="64">
    <mergeCell ref="AE48:AH48"/>
    <mergeCell ref="AE49:AH49"/>
    <mergeCell ref="AE50:AH50"/>
    <mergeCell ref="AE51:AH51"/>
    <mergeCell ref="AE52:AH52"/>
    <mergeCell ref="AE43:AH43"/>
    <mergeCell ref="AE44:AH44"/>
    <mergeCell ref="AE45:AH45"/>
    <mergeCell ref="AE46:AH46"/>
    <mergeCell ref="AE47:AH47"/>
    <mergeCell ref="AL39:AL41"/>
    <mergeCell ref="AM39:AM41"/>
    <mergeCell ref="AN39:AN42"/>
    <mergeCell ref="AO39:AP41"/>
    <mergeCell ref="AL42:AM42"/>
    <mergeCell ref="AD39:AD42"/>
    <mergeCell ref="AE39:AH42"/>
    <mergeCell ref="AI39:AI42"/>
    <mergeCell ref="AJ39:AJ42"/>
    <mergeCell ref="AK39:AK41"/>
    <mergeCell ref="Q48:T48"/>
    <mergeCell ref="Q49:T49"/>
    <mergeCell ref="Q50:T50"/>
    <mergeCell ref="Q51:T51"/>
    <mergeCell ref="Q52:T52"/>
    <mergeCell ref="Q43:T43"/>
    <mergeCell ref="Q44:T44"/>
    <mergeCell ref="Q45:T45"/>
    <mergeCell ref="Q46:T46"/>
    <mergeCell ref="Q47:T47"/>
    <mergeCell ref="X39:X41"/>
    <mergeCell ref="Y39:Y41"/>
    <mergeCell ref="Z39:Z42"/>
    <mergeCell ref="AA39:AB41"/>
    <mergeCell ref="X42:Y42"/>
    <mergeCell ref="P39:P42"/>
    <mergeCell ref="Q39:T42"/>
    <mergeCell ref="U39:U42"/>
    <mergeCell ref="V39:V42"/>
    <mergeCell ref="W39:W41"/>
    <mergeCell ref="L39:L42"/>
    <mergeCell ref="J42:K42"/>
    <mergeCell ref="M39:N41"/>
    <mergeCell ref="B39:B42"/>
    <mergeCell ref="I39:I41"/>
    <mergeCell ref="H39:H42"/>
    <mergeCell ref="C39:F42"/>
    <mergeCell ref="G39:G42"/>
    <mergeCell ref="J39:J41"/>
    <mergeCell ref="K39:K41"/>
    <mergeCell ref="C52:F52"/>
    <mergeCell ref="C46:F46"/>
    <mergeCell ref="C47:F47"/>
    <mergeCell ref="C48:F48"/>
    <mergeCell ref="C49:F49"/>
    <mergeCell ref="C50:F50"/>
    <mergeCell ref="B22:C23"/>
    <mergeCell ref="B26:C27"/>
    <mergeCell ref="B24:C25"/>
    <mergeCell ref="B28:C29"/>
    <mergeCell ref="C51:F51"/>
    <mergeCell ref="C43:F43"/>
    <mergeCell ref="C44:F44"/>
    <mergeCell ref="C45:F45"/>
  </mergeCells>
  <phoneticPr fontId="35" type="noConversion"/>
  <conditionalFormatting sqref="I38:L38">
    <cfRule type="expression" dxfId="11" priority="6" stopIfTrue="1">
      <formula>NOT(I38="")</formula>
    </cfRule>
  </conditionalFormatting>
  <conditionalFormatting sqref="L43:L52">
    <cfRule type="expression" dxfId="10" priority="5">
      <formula>$I43="Ei"</formula>
    </cfRule>
  </conditionalFormatting>
  <conditionalFormatting sqref="W38:Z38">
    <cfRule type="expression" dxfId="9" priority="4" stopIfTrue="1">
      <formula>NOT(W38="")</formula>
    </cfRule>
  </conditionalFormatting>
  <conditionalFormatting sqref="Z43:Z52">
    <cfRule type="expression" dxfId="8" priority="3">
      <formula>$W43="Ei"</formula>
    </cfRule>
  </conditionalFormatting>
  <conditionalFormatting sqref="AK38:AN38">
    <cfRule type="expression" dxfId="7" priority="2" stopIfTrue="1">
      <formula>NOT(AK38="")</formula>
    </cfRule>
  </conditionalFormatting>
  <conditionalFormatting sqref="AN43:AN52">
    <cfRule type="expression" dxfId="6" priority="1">
      <formula>$AK43="Ei"</formula>
    </cfRule>
  </conditionalFormatting>
  <hyperlinks>
    <hyperlink ref="A2" location="Sisukord!A1" display="Sisukord"/>
  </hyperlink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'HT-Jäätmed (M3)'!$B$5:$B$11</xm:f>
          </x14:formula1>
          <xm:sqref>C43:F52 Q43:T52 AE43:AH52</xm:sqref>
        </x14:dataValidation>
        <x14:dataValidation type="list" allowBlank="1" showInputMessage="1" showErrorMessage="1">
          <x14:formula1>
            <xm:f>Viited!$B$65:$B$66</xm:f>
          </x14:formula1>
          <xm:sqref>I53:K53 I43:I52 W53:Y53 W43:W52 AK53:AM53 AK43:AK52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M78"/>
  <sheetViews>
    <sheetView showGridLines="0" zoomScale="90" zoomScaleNormal="90" workbookViewId="0">
      <pane xSplit="1" ySplit="1" topLeftCell="B21" activePane="bottomRight" state="frozen"/>
      <selection activeCell="B5" sqref="B5"/>
      <selection pane="topRight" activeCell="B5" sqref="B5"/>
      <selection pane="bottomLeft" activeCell="B5" sqref="B5"/>
      <selection pane="bottomRight" activeCell="L45" sqref="L45"/>
    </sheetView>
  </sheetViews>
  <sheetFormatPr defaultColWidth="8.7265625" defaultRowHeight="15"/>
  <cols>
    <col min="1" max="1" width="7.1796875" style="302" customWidth="1"/>
    <col min="2" max="2" width="9.7265625" style="297" customWidth="1"/>
    <col min="3" max="5" width="9.54296875" style="297" customWidth="1"/>
    <col min="6" max="6" width="8.54296875" style="297" customWidth="1"/>
    <col min="7" max="8" width="12.54296875" style="297" customWidth="1"/>
    <col min="9" max="9" width="15.54296875" style="297" customWidth="1"/>
    <col min="10" max="10" width="16.54296875" style="297" customWidth="1"/>
    <col min="11" max="11" width="43.453125" style="297" customWidth="1"/>
    <col min="12" max="13" width="14" style="297" customWidth="1"/>
    <col min="14" max="14" width="8.7265625" style="297"/>
    <col min="15" max="15" width="9.7265625" style="297" customWidth="1"/>
    <col min="16" max="18" width="9.81640625" style="297" customWidth="1"/>
    <col min="19" max="19" width="8.81640625" style="297" customWidth="1"/>
    <col min="20" max="21" width="12.81640625" style="297" customWidth="1"/>
    <col min="22" max="22" width="15.54296875" style="297" customWidth="1"/>
    <col min="23" max="23" width="16.81640625" style="297" customWidth="1"/>
    <col min="24" max="24" width="43.1796875" style="297" customWidth="1"/>
    <col min="25" max="26" width="14" style="297" customWidth="1"/>
    <col min="27" max="27" width="8.7265625" style="297"/>
    <col min="28" max="28" width="9.7265625" style="297" customWidth="1"/>
    <col min="29" max="31" width="9.81640625" style="297" customWidth="1"/>
    <col min="32" max="32" width="8.81640625" style="297" customWidth="1"/>
    <col min="33" max="34" width="12.81640625" style="297" customWidth="1"/>
    <col min="35" max="35" width="15.54296875" style="297" customWidth="1"/>
    <col min="36" max="36" width="16.81640625" style="297" customWidth="1"/>
    <col min="37" max="37" width="43.1796875" style="297" customWidth="1"/>
    <col min="38" max="39" width="14" style="297" customWidth="1"/>
    <col min="40" max="16384" width="8.7265625" style="297"/>
  </cols>
  <sheetData>
    <row r="1" spans="1:13" s="293" customFormat="1" ht="21" customHeight="1">
      <c r="B1" s="291" t="s">
        <v>1556</v>
      </c>
      <c r="C1" s="319"/>
      <c r="D1" s="319"/>
      <c r="E1" s="319"/>
    </row>
    <row r="2" spans="1:13" ht="14">
      <c r="A2" s="295" t="s">
        <v>1</v>
      </c>
      <c r="B2" s="516" t="s">
        <v>1800</v>
      </c>
      <c r="C2" s="517"/>
      <c r="D2" s="517"/>
      <c r="E2" s="517"/>
      <c r="F2" s="517"/>
      <c r="G2" s="517"/>
      <c r="H2" s="517"/>
      <c r="I2" s="517"/>
      <c r="J2" s="517"/>
      <c r="K2" s="517"/>
      <c r="L2" s="517"/>
      <c r="M2" s="518"/>
    </row>
    <row r="3" spans="1:13" ht="15" customHeight="1">
      <c r="A3" s="295"/>
      <c r="B3" s="519" t="s">
        <v>1882</v>
      </c>
      <c r="M3" s="520"/>
    </row>
    <row r="4" spans="1:13" ht="15" customHeight="1">
      <c r="A4" s="295"/>
      <c r="B4" s="519" t="s">
        <v>1883</v>
      </c>
      <c r="M4" s="520"/>
    </row>
    <row r="5" spans="1:13" ht="14">
      <c r="A5" s="295"/>
      <c r="B5" s="519" t="s">
        <v>1431</v>
      </c>
      <c r="M5" s="520"/>
    </row>
    <row r="6" spans="1:13" ht="14">
      <c r="A6" s="297"/>
      <c r="B6" s="519" t="s">
        <v>1884</v>
      </c>
      <c r="C6" s="487"/>
      <c r="D6" s="487"/>
      <c r="E6" s="487"/>
      <c r="M6" s="520"/>
    </row>
    <row r="7" spans="1:13" ht="14">
      <c r="A7" s="297"/>
      <c r="B7" s="519" t="s">
        <v>1889</v>
      </c>
      <c r="C7" s="487"/>
      <c r="D7" s="487"/>
      <c r="E7" s="487"/>
      <c r="M7" s="520"/>
    </row>
    <row r="8" spans="1:13" ht="14">
      <c r="A8" s="297"/>
      <c r="B8" s="519" t="s">
        <v>1433</v>
      </c>
      <c r="C8" s="487"/>
      <c r="D8" s="487"/>
      <c r="E8" s="487"/>
      <c r="M8" s="520"/>
    </row>
    <row r="9" spans="1:13" ht="14">
      <c r="A9" s="297"/>
      <c r="B9" s="519" t="s">
        <v>1436</v>
      </c>
      <c r="M9" s="520"/>
    </row>
    <row r="10" spans="1:13" ht="14">
      <c r="A10" s="297"/>
      <c r="B10" s="541" t="s">
        <v>1435</v>
      </c>
      <c r="M10" s="520"/>
    </row>
    <row r="11" spans="1:13" ht="14">
      <c r="A11" s="297"/>
      <c r="B11" s="541"/>
      <c r="M11" s="520"/>
    </row>
    <row r="12" spans="1:13" ht="16">
      <c r="A12" s="297"/>
      <c r="B12" s="519" t="s">
        <v>2088</v>
      </c>
      <c r="M12" s="520"/>
    </row>
    <row r="13" spans="1:13" ht="14">
      <c r="A13" s="297"/>
      <c r="B13" s="519" t="s">
        <v>1880</v>
      </c>
      <c r="M13" s="520"/>
    </row>
    <row r="14" spans="1:13" ht="14">
      <c r="A14" s="297"/>
      <c r="B14" s="519"/>
      <c r="M14" s="520"/>
    </row>
    <row r="15" spans="1:13" ht="14">
      <c r="A15" s="297"/>
      <c r="B15" s="523" t="s">
        <v>1746</v>
      </c>
      <c r="C15" s="524"/>
      <c r="D15" s="524"/>
      <c r="E15" s="524"/>
      <c r="F15" s="524"/>
      <c r="G15" s="524"/>
      <c r="H15" s="524"/>
      <c r="I15" s="524"/>
      <c r="J15" s="524"/>
      <c r="K15" s="524"/>
      <c r="L15" s="524"/>
      <c r="M15" s="525"/>
    </row>
    <row r="16" spans="1:13" ht="14.5" thickBot="1">
      <c r="A16" s="297"/>
    </row>
    <row r="17" spans="1:39" thickTop="1" thickBot="1">
      <c r="A17" s="297"/>
      <c r="B17" s="502" t="s">
        <v>55</v>
      </c>
      <c r="C17" s="526">
        <f>Organisatsioon!B23</f>
        <v>2021</v>
      </c>
      <c r="O17" s="502" t="s">
        <v>55</v>
      </c>
      <c r="P17" s="526">
        <f>Organisatsioon!B24</f>
        <v>2022</v>
      </c>
      <c r="AB17" s="502" t="s">
        <v>55</v>
      </c>
      <c r="AC17" s="526">
        <f>Organisatsioon!B25</f>
        <v>2023</v>
      </c>
    </row>
    <row r="18" spans="1:39" ht="14.5" thickTop="1">
      <c r="A18" s="297"/>
      <c r="B18" s="542"/>
      <c r="C18" s="542"/>
      <c r="D18" s="542"/>
      <c r="E18" s="542"/>
      <c r="O18" s="542"/>
      <c r="P18" s="542"/>
      <c r="Q18" s="542"/>
      <c r="R18" s="542"/>
      <c r="AB18" s="542"/>
      <c r="AC18" s="542"/>
      <c r="AD18" s="542"/>
      <c r="AE18" s="542"/>
    </row>
    <row r="19" spans="1:39" ht="14">
      <c r="A19" s="297"/>
      <c r="B19" s="308" t="s">
        <v>123</v>
      </c>
      <c r="C19" s="543"/>
      <c r="D19" s="543"/>
      <c r="E19" s="543"/>
      <c r="F19" s="543"/>
      <c r="G19" s="543"/>
      <c r="H19" s="543"/>
      <c r="I19" s="543"/>
      <c r="J19" s="543"/>
      <c r="K19" s="543"/>
      <c r="L19" s="543"/>
      <c r="M19" s="544"/>
      <c r="O19" s="308" t="s">
        <v>123</v>
      </c>
      <c r="P19" s="543"/>
      <c r="Q19" s="543"/>
      <c r="R19" s="543"/>
      <c r="S19" s="543"/>
      <c r="T19" s="543"/>
      <c r="U19" s="543"/>
      <c r="V19" s="543"/>
      <c r="W19" s="543"/>
      <c r="X19" s="543"/>
      <c r="Y19" s="543"/>
      <c r="Z19" s="544"/>
      <c r="AB19" s="308" t="s">
        <v>123</v>
      </c>
      <c r="AC19" s="543"/>
      <c r="AD19" s="543"/>
      <c r="AE19" s="543"/>
      <c r="AF19" s="543"/>
      <c r="AG19" s="543"/>
      <c r="AH19" s="543"/>
      <c r="AI19" s="543"/>
      <c r="AJ19" s="543"/>
      <c r="AK19" s="543"/>
      <c r="AL19" s="543"/>
      <c r="AM19" s="544"/>
    </row>
    <row r="20" spans="1:39" ht="14">
      <c r="A20" s="297"/>
      <c r="B20" s="925" t="s">
        <v>57</v>
      </c>
      <c r="C20" s="916" t="s">
        <v>124</v>
      </c>
      <c r="D20" s="945"/>
      <c r="E20" s="945"/>
      <c r="F20" s="917"/>
      <c r="G20" s="545" t="s">
        <v>67</v>
      </c>
      <c r="H20" s="545" t="s">
        <v>125</v>
      </c>
      <c r="I20" s="925" t="s">
        <v>126</v>
      </c>
      <c r="J20" s="925" t="s">
        <v>81</v>
      </c>
      <c r="K20" s="925" t="s">
        <v>127</v>
      </c>
      <c r="L20" s="895" t="s">
        <v>72</v>
      </c>
      <c r="M20" s="897"/>
      <c r="O20" s="925" t="s">
        <v>57</v>
      </c>
      <c r="P20" s="916" t="s">
        <v>124</v>
      </c>
      <c r="Q20" s="945"/>
      <c r="R20" s="945"/>
      <c r="S20" s="917"/>
      <c r="T20" s="545" t="s">
        <v>67</v>
      </c>
      <c r="U20" s="545" t="s">
        <v>125</v>
      </c>
      <c r="V20" s="925" t="s">
        <v>126</v>
      </c>
      <c r="W20" s="925" t="s">
        <v>81</v>
      </c>
      <c r="X20" s="925" t="s">
        <v>127</v>
      </c>
      <c r="Y20" s="895" t="s">
        <v>72</v>
      </c>
      <c r="Z20" s="897"/>
      <c r="AB20" s="925" t="s">
        <v>57</v>
      </c>
      <c r="AC20" s="916" t="s">
        <v>124</v>
      </c>
      <c r="AD20" s="945"/>
      <c r="AE20" s="945"/>
      <c r="AF20" s="917"/>
      <c r="AG20" s="545" t="s">
        <v>67</v>
      </c>
      <c r="AH20" s="545" t="s">
        <v>125</v>
      </c>
      <c r="AI20" s="925" t="s">
        <v>126</v>
      </c>
      <c r="AJ20" s="925" t="s">
        <v>81</v>
      </c>
      <c r="AK20" s="925" t="s">
        <v>127</v>
      </c>
      <c r="AL20" s="895" t="s">
        <v>72</v>
      </c>
      <c r="AM20" s="897"/>
    </row>
    <row r="21" spans="1:39" ht="16">
      <c r="B21" s="927"/>
      <c r="C21" s="920"/>
      <c r="D21" s="946"/>
      <c r="E21" s="946"/>
      <c r="F21" s="921"/>
      <c r="G21" s="527" t="s">
        <v>1432</v>
      </c>
      <c r="H21" s="527" t="s">
        <v>128</v>
      </c>
      <c r="I21" s="927"/>
      <c r="J21" s="927"/>
      <c r="K21" s="927"/>
      <c r="L21" s="527" t="s">
        <v>2085</v>
      </c>
      <c r="M21" s="527" t="s">
        <v>2086</v>
      </c>
      <c r="O21" s="927"/>
      <c r="P21" s="920"/>
      <c r="Q21" s="946"/>
      <c r="R21" s="946"/>
      <c r="S21" s="921"/>
      <c r="T21" s="527" t="s">
        <v>1432</v>
      </c>
      <c r="U21" s="527" t="s">
        <v>128</v>
      </c>
      <c r="V21" s="927"/>
      <c r="W21" s="927"/>
      <c r="X21" s="927"/>
      <c r="Y21" s="527" t="s">
        <v>2085</v>
      </c>
      <c r="Z21" s="527" t="s">
        <v>2086</v>
      </c>
      <c r="AB21" s="927"/>
      <c r="AC21" s="920"/>
      <c r="AD21" s="946"/>
      <c r="AE21" s="946"/>
      <c r="AF21" s="921"/>
      <c r="AG21" s="527" t="s">
        <v>1432</v>
      </c>
      <c r="AH21" s="527" t="s">
        <v>128</v>
      </c>
      <c r="AI21" s="927"/>
      <c r="AJ21" s="927"/>
      <c r="AK21" s="927"/>
      <c r="AL21" s="527" t="s">
        <v>2085</v>
      </c>
      <c r="AM21" s="527" t="s">
        <v>2086</v>
      </c>
    </row>
    <row r="22" spans="1:39">
      <c r="B22" s="361">
        <v>1</v>
      </c>
      <c r="C22" s="958" t="s">
        <v>1571</v>
      </c>
      <c r="D22" s="959"/>
      <c r="E22" s="959"/>
      <c r="F22" s="960"/>
      <c r="G22" s="546">
        <v>39</v>
      </c>
      <c r="H22" s="546">
        <v>0</v>
      </c>
      <c r="I22" s="547">
        <v>0.91900000000000004</v>
      </c>
      <c r="J22" s="548" t="s">
        <v>1578</v>
      </c>
      <c r="K22" s="323" t="s">
        <v>1875</v>
      </c>
      <c r="L22" s="549">
        <f>IF(G22&gt;0,G22*I22, IF(G22=0,H22*I22))</f>
        <v>35.841000000000001</v>
      </c>
      <c r="M22" s="549">
        <f>L22*0.001</f>
        <v>3.5841000000000005E-2</v>
      </c>
      <c r="O22" s="361"/>
      <c r="P22" s="958"/>
      <c r="Q22" s="959"/>
      <c r="R22" s="959"/>
      <c r="S22" s="960"/>
      <c r="T22" s="546">
        <v>0</v>
      </c>
      <c r="U22" s="546">
        <v>0</v>
      </c>
      <c r="V22" s="547"/>
      <c r="W22" s="548"/>
      <c r="X22" s="323"/>
      <c r="Y22" s="549">
        <f t="shared" ref="Y22:Y40" si="0">IF(T22&gt;0,T22*V22, IF(T22=0,U22*V22))</f>
        <v>0</v>
      </c>
      <c r="Z22" s="549">
        <f t="shared" ref="Z22:Z40" si="1">Y22*0.001</f>
        <v>0</v>
      </c>
      <c r="AB22" s="361"/>
      <c r="AC22" s="958"/>
      <c r="AD22" s="959"/>
      <c r="AE22" s="959"/>
      <c r="AF22" s="960"/>
      <c r="AG22" s="546">
        <v>0</v>
      </c>
      <c r="AH22" s="546">
        <v>0</v>
      </c>
      <c r="AI22" s="547"/>
      <c r="AJ22" s="548"/>
      <c r="AK22" s="323"/>
      <c r="AL22" s="549">
        <f t="shared" ref="AL22:AL40" si="2">IF(AG22&gt;0,AG22*AI22, IF(AG22=0,AH22*AI22))</f>
        <v>0</v>
      </c>
      <c r="AM22" s="549">
        <f t="shared" ref="AM22:AM40" si="3">AL22*0.001</f>
        <v>0</v>
      </c>
    </row>
    <row r="23" spans="1:39">
      <c r="B23" s="361">
        <v>1</v>
      </c>
      <c r="C23" s="958" t="s">
        <v>1876</v>
      </c>
      <c r="D23" s="959"/>
      <c r="E23" s="959"/>
      <c r="F23" s="960"/>
      <c r="G23" s="546">
        <v>3</v>
      </c>
      <c r="H23" s="546">
        <v>0</v>
      </c>
      <c r="I23" s="547">
        <v>156</v>
      </c>
      <c r="J23" s="548" t="s">
        <v>1877</v>
      </c>
      <c r="K23" s="323" t="s">
        <v>1875</v>
      </c>
      <c r="L23" s="549">
        <f>IF(G23&gt;0,G23*I23, IF(G23=0,H23*I23))</f>
        <v>468</v>
      </c>
      <c r="M23" s="549">
        <f t="shared" ref="M23:M40" si="4">L23*0.001</f>
        <v>0.46800000000000003</v>
      </c>
      <c r="O23" s="361"/>
      <c r="P23" s="958"/>
      <c r="Q23" s="959"/>
      <c r="R23" s="959"/>
      <c r="S23" s="960"/>
      <c r="T23" s="546">
        <v>0</v>
      </c>
      <c r="U23" s="546">
        <v>0</v>
      </c>
      <c r="V23" s="547"/>
      <c r="W23" s="548"/>
      <c r="X23" s="323"/>
      <c r="Y23" s="549">
        <f t="shared" si="0"/>
        <v>0</v>
      </c>
      <c r="Z23" s="549">
        <f t="shared" si="1"/>
        <v>0</v>
      </c>
      <c r="AB23" s="361"/>
      <c r="AC23" s="958"/>
      <c r="AD23" s="959"/>
      <c r="AE23" s="959"/>
      <c r="AF23" s="960"/>
      <c r="AG23" s="546">
        <v>0</v>
      </c>
      <c r="AH23" s="546">
        <v>0</v>
      </c>
      <c r="AI23" s="547"/>
      <c r="AJ23" s="548"/>
      <c r="AK23" s="323"/>
      <c r="AL23" s="549">
        <f t="shared" si="2"/>
        <v>0</v>
      </c>
      <c r="AM23" s="549">
        <f t="shared" si="3"/>
        <v>0</v>
      </c>
    </row>
    <row r="24" spans="1:39">
      <c r="B24" s="361">
        <v>2</v>
      </c>
      <c r="C24" s="958" t="s">
        <v>1878</v>
      </c>
      <c r="D24" s="959"/>
      <c r="E24" s="959"/>
      <c r="F24" s="960"/>
      <c r="G24" s="546">
        <v>1</v>
      </c>
      <c r="H24" s="546">
        <v>0</v>
      </c>
      <c r="I24" s="547">
        <v>197</v>
      </c>
      <c r="J24" s="548" t="s">
        <v>1877</v>
      </c>
      <c r="K24" s="323" t="s">
        <v>1875</v>
      </c>
      <c r="L24" s="549">
        <f t="shared" ref="L24:L40" si="5">IF(G24&gt;0,G24*I24, IF(G24=0,H24*I24))</f>
        <v>197</v>
      </c>
      <c r="M24" s="549">
        <f t="shared" si="4"/>
        <v>0.19700000000000001</v>
      </c>
      <c r="O24" s="361"/>
      <c r="P24" s="958"/>
      <c r="Q24" s="959"/>
      <c r="R24" s="959"/>
      <c r="S24" s="960"/>
      <c r="T24" s="546">
        <v>0</v>
      </c>
      <c r="U24" s="546">
        <v>0</v>
      </c>
      <c r="V24" s="547"/>
      <c r="W24" s="548"/>
      <c r="X24" s="323"/>
      <c r="Y24" s="549">
        <f t="shared" si="0"/>
        <v>0</v>
      </c>
      <c r="Z24" s="549">
        <f t="shared" si="1"/>
        <v>0</v>
      </c>
      <c r="AB24" s="361"/>
      <c r="AC24" s="958"/>
      <c r="AD24" s="959"/>
      <c r="AE24" s="959"/>
      <c r="AF24" s="960"/>
      <c r="AG24" s="546">
        <v>0</v>
      </c>
      <c r="AH24" s="546">
        <v>0</v>
      </c>
      <c r="AI24" s="547"/>
      <c r="AJ24" s="548"/>
      <c r="AK24" s="323"/>
      <c r="AL24" s="549">
        <f t="shared" si="2"/>
        <v>0</v>
      </c>
      <c r="AM24" s="549">
        <f t="shared" si="3"/>
        <v>0</v>
      </c>
    </row>
    <row r="25" spans="1:39">
      <c r="B25" s="361"/>
      <c r="C25" s="958"/>
      <c r="D25" s="959"/>
      <c r="E25" s="959"/>
      <c r="F25" s="960"/>
      <c r="G25" s="546">
        <v>0</v>
      </c>
      <c r="H25" s="546">
        <v>0</v>
      </c>
      <c r="I25" s="547"/>
      <c r="J25" s="548"/>
      <c r="K25" s="323"/>
      <c r="L25" s="549">
        <f t="shared" si="5"/>
        <v>0</v>
      </c>
      <c r="M25" s="549">
        <f t="shared" si="4"/>
        <v>0</v>
      </c>
      <c r="O25" s="361"/>
      <c r="P25" s="958"/>
      <c r="Q25" s="959"/>
      <c r="R25" s="959"/>
      <c r="S25" s="960"/>
      <c r="T25" s="546">
        <v>0</v>
      </c>
      <c r="U25" s="546">
        <v>0</v>
      </c>
      <c r="V25" s="547"/>
      <c r="W25" s="548"/>
      <c r="X25" s="323"/>
      <c r="Y25" s="549">
        <f t="shared" si="0"/>
        <v>0</v>
      </c>
      <c r="Z25" s="549">
        <f t="shared" si="1"/>
        <v>0</v>
      </c>
      <c r="AB25" s="361"/>
      <c r="AC25" s="958"/>
      <c r="AD25" s="959"/>
      <c r="AE25" s="959"/>
      <c r="AF25" s="960"/>
      <c r="AG25" s="546">
        <v>0</v>
      </c>
      <c r="AH25" s="546">
        <v>0</v>
      </c>
      <c r="AI25" s="547"/>
      <c r="AJ25" s="548"/>
      <c r="AK25" s="323"/>
      <c r="AL25" s="549">
        <f t="shared" si="2"/>
        <v>0</v>
      </c>
      <c r="AM25" s="549">
        <f t="shared" si="3"/>
        <v>0</v>
      </c>
    </row>
    <row r="26" spans="1:39">
      <c r="B26" s="361"/>
      <c r="C26" s="958"/>
      <c r="D26" s="959"/>
      <c r="E26" s="959"/>
      <c r="F26" s="960"/>
      <c r="G26" s="546">
        <v>0</v>
      </c>
      <c r="H26" s="546">
        <v>0</v>
      </c>
      <c r="I26" s="547"/>
      <c r="J26" s="548"/>
      <c r="K26" s="323"/>
      <c r="L26" s="549">
        <f t="shared" si="5"/>
        <v>0</v>
      </c>
      <c r="M26" s="549">
        <f t="shared" si="4"/>
        <v>0</v>
      </c>
      <c r="O26" s="361"/>
      <c r="P26" s="958"/>
      <c r="Q26" s="959"/>
      <c r="R26" s="959"/>
      <c r="S26" s="960"/>
      <c r="T26" s="546">
        <v>0</v>
      </c>
      <c r="U26" s="546">
        <v>0</v>
      </c>
      <c r="V26" s="547"/>
      <c r="W26" s="548"/>
      <c r="X26" s="323"/>
      <c r="Y26" s="549">
        <f t="shared" si="0"/>
        <v>0</v>
      </c>
      <c r="Z26" s="549">
        <f t="shared" si="1"/>
        <v>0</v>
      </c>
      <c r="AB26" s="361"/>
      <c r="AC26" s="958"/>
      <c r="AD26" s="959"/>
      <c r="AE26" s="959"/>
      <c r="AF26" s="960"/>
      <c r="AG26" s="546">
        <v>0</v>
      </c>
      <c r="AH26" s="546">
        <v>0</v>
      </c>
      <c r="AI26" s="547"/>
      <c r="AJ26" s="548"/>
      <c r="AK26" s="323"/>
      <c r="AL26" s="549">
        <f t="shared" si="2"/>
        <v>0</v>
      </c>
      <c r="AM26" s="549">
        <f t="shared" si="3"/>
        <v>0</v>
      </c>
    </row>
    <row r="27" spans="1:39">
      <c r="B27" s="361"/>
      <c r="C27" s="958"/>
      <c r="D27" s="959"/>
      <c r="E27" s="959"/>
      <c r="F27" s="960"/>
      <c r="G27" s="546">
        <v>0</v>
      </c>
      <c r="H27" s="546">
        <v>0</v>
      </c>
      <c r="I27" s="547"/>
      <c r="J27" s="548"/>
      <c r="K27" s="323"/>
      <c r="L27" s="549">
        <f t="shared" si="5"/>
        <v>0</v>
      </c>
      <c r="M27" s="549">
        <f t="shared" si="4"/>
        <v>0</v>
      </c>
      <c r="O27" s="361"/>
      <c r="P27" s="958"/>
      <c r="Q27" s="959"/>
      <c r="R27" s="959"/>
      <c r="S27" s="960"/>
      <c r="T27" s="546">
        <v>0</v>
      </c>
      <c r="U27" s="546">
        <v>0</v>
      </c>
      <c r="V27" s="547"/>
      <c r="W27" s="548"/>
      <c r="X27" s="323"/>
      <c r="Y27" s="549">
        <f t="shared" si="0"/>
        <v>0</v>
      </c>
      <c r="Z27" s="549">
        <f t="shared" si="1"/>
        <v>0</v>
      </c>
      <c r="AB27" s="361"/>
      <c r="AC27" s="958"/>
      <c r="AD27" s="959"/>
      <c r="AE27" s="959"/>
      <c r="AF27" s="960"/>
      <c r="AG27" s="546">
        <v>0</v>
      </c>
      <c r="AH27" s="546">
        <v>0</v>
      </c>
      <c r="AI27" s="547"/>
      <c r="AJ27" s="548"/>
      <c r="AK27" s="323"/>
      <c r="AL27" s="549">
        <f t="shared" si="2"/>
        <v>0</v>
      </c>
      <c r="AM27" s="549">
        <f t="shared" si="3"/>
        <v>0</v>
      </c>
    </row>
    <row r="28" spans="1:39">
      <c r="B28" s="361"/>
      <c r="C28" s="958"/>
      <c r="D28" s="959"/>
      <c r="E28" s="959"/>
      <c r="F28" s="960"/>
      <c r="G28" s="546">
        <v>0</v>
      </c>
      <c r="H28" s="546">
        <v>0</v>
      </c>
      <c r="I28" s="547"/>
      <c r="J28" s="548"/>
      <c r="K28" s="323"/>
      <c r="L28" s="549">
        <f t="shared" si="5"/>
        <v>0</v>
      </c>
      <c r="M28" s="549">
        <f t="shared" si="4"/>
        <v>0</v>
      </c>
      <c r="O28" s="361"/>
      <c r="P28" s="958"/>
      <c r="Q28" s="959"/>
      <c r="R28" s="959"/>
      <c r="S28" s="960"/>
      <c r="T28" s="546">
        <v>0</v>
      </c>
      <c r="U28" s="546">
        <v>0</v>
      </c>
      <c r="V28" s="547"/>
      <c r="W28" s="548"/>
      <c r="X28" s="323"/>
      <c r="Y28" s="549">
        <f t="shared" si="0"/>
        <v>0</v>
      </c>
      <c r="Z28" s="549">
        <f t="shared" si="1"/>
        <v>0</v>
      </c>
      <c r="AB28" s="361"/>
      <c r="AC28" s="958"/>
      <c r="AD28" s="959"/>
      <c r="AE28" s="959"/>
      <c r="AF28" s="960"/>
      <c r="AG28" s="546">
        <v>0</v>
      </c>
      <c r="AH28" s="546">
        <v>0</v>
      </c>
      <c r="AI28" s="547"/>
      <c r="AJ28" s="548"/>
      <c r="AK28" s="323"/>
      <c r="AL28" s="549">
        <f t="shared" si="2"/>
        <v>0</v>
      </c>
      <c r="AM28" s="549">
        <f t="shared" si="3"/>
        <v>0</v>
      </c>
    </row>
    <row r="29" spans="1:39">
      <c r="B29" s="361"/>
      <c r="C29" s="958"/>
      <c r="D29" s="959"/>
      <c r="E29" s="959"/>
      <c r="F29" s="960"/>
      <c r="G29" s="546">
        <v>0</v>
      </c>
      <c r="H29" s="546">
        <v>0</v>
      </c>
      <c r="I29" s="547"/>
      <c r="J29" s="548"/>
      <c r="K29" s="323"/>
      <c r="L29" s="549">
        <f t="shared" si="5"/>
        <v>0</v>
      </c>
      <c r="M29" s="549">
        <f t="shared" si="4"/>
        <v>0</v>
      </c>
      <c r="O29" s="361"/>
      <c r="P29" s="958"/>
      <c r="Q29" s="959"/>
      <c r="R29" s="959"/>
      <c r="S29" s="960"/>
      <c r="T29" s="546">
        <v>0</v>
      </c>
      <c r="U29" s="546">
        <v>0</v>
      </c>
      <c r="V29" s="547"/>
      <c r="W29" s="548"/>
      <c r="X29" s="323"/>
      <c r="Y29" s="549">
        <f t="shared" si="0"/>
        <v>0</v>
      </c>
      <c r="Z29" s="549">
        <f t="shared" si="1"/>
        <v>0</v>
      </c>
      <c r="AB29" s="361"/>
      <c r="AC29" s="958"/>
      <c r="AD29" s="959"/>
      <c r="AE29" s="959"/>
      <c r="AF29" s="960"/>
      <c r="AG29" s="546">
        <v>0</v>
      </c>
      <c r="AH29" s="546">
        <v>0</v>
      </c>
      <c r="AI29" s="547"/>
      <c r="AJ29" s="548"/>
      <c r="AK29" s="323"/>
      <c r="AL29" s="549">
        <f t="shared" si="2"/>
        <v>0</v>
      </c>
      <c r="AM29" s="549">
        <f t="shared" si="3"/>
        <v>0</v>
      </c>
    </row>
    <row r="30" spans="1:39">
      <c r="B30" s="361"/>
      <c r="C30" s="958"/>
      <c r="D30" s="959"/>
      <c r="E30" s="959"/>
      <c r="F30" s="960"/>
      <c r="G30" s="546">
        <v>0</v>
      </c>
      <c r="H30" s="546">
        <v>0</v>
      </c>
      <c r="I30" s="547"/>
      <c r="J30" s="548"/>
      <c r="K30" s="323"/>
      <c r="L30" s="549">
        <f t="shared" si="5"/>
        <v>0</v>
      </c>
      <c r="M30" s="549">
        <f t="shared" si="4"/>
        <v>0</v>
      </c>
      <c r="O30" s="361"/>
      <c r="P30" s="958"/>
      <c r="Q30" s="959"/>
      <c r="R30" s="959"/>
      <c r="S30" s="960"/>
      <c r="T30" s="546">
        <v>0</v>
      </c>
      <c r="U30" s="546">
        <v>0</v>
      </c>
      <c r="V30" s="547"/>
      <c r="W30" s="548"/>
      <c r="X30" s="323"/>
      <c r="Y30" s="549">
        <f t="shared" si="0"/>
        <v>0</v>
      </c>
      <c r="Z30" s="549">
        <f t="shared" si="1"/>
        <v>0</v>
      </c>
      <c r="AB30" s="361"/>
      <c r="AC30" s="958"/>
      <c r="AD30" s="959"/>
      <c r="AE30" s="959"/>
      <c r="AF30" s="960"/>
      <c r="AG30" s="546">
        <v>0</v>
      </c>
      <c r="AH30" s="546">
        <v>0</v>
      </c>
      <c r="AI30" s="547"/>
      <c r="AJ30" s="548"/>
      <c r="AK30" s="323"/>
      <c r="AL30" s="549">
        <f t="shared" si="2"/>
        <v>0</v>
      </c>
      <c r="AM30" s="549">
        <f t="shared" si="3"/>
        <v>0</v>
      </c>
    </row>
    <row r="31" spans="1:39">
      <c r="B31" s="361"/>
      <c r="C31" s="958"/>
      <c r="D31" s="959"/>
      <c r="E31" s="959"/>
      <c r="F31" s="960"/>
      <c r="G31" s="546">
        <v>0</v>
      </c>
      <c r="H31" s="546">
        <v>0</v>
      </c>
      <c r="I31" s="547"/>
      <c r="J31" s="548"/>
      <c r="K31" s="323"/>
      <c r="L31" s="549">
        <f t="shared" si="5"/>
        <v>0</v>
      </c>
      <c r="M31" s="549">
        <f t="shared" si="4"/>
        <v>0</v>
      </c>
      <c r="O31" s="361"/>
      <c r="P31" s="958"/>
      <c r="Q31" s="959"/>
      <c r="R31" s="959"/>
      <c r="S31" s="960"/>
      <c r="T31" s="546">
        <v>0</v>
      </c>
      <c r="U31" s="546">
        <v>0</v>
      </c>
      <c r="V31" s="547"/>
      <c r="W31" s="548"/>
      <c r="X31" s="323"/>
      <c r="Y31" s="549">
        <f t="shared" si="0"/>
        <v>0</v>
      </c>
      <c r="Z31" s="549">
        <f t="shared" si="1"/>
        <v>0</v>
      </c>
      <c r="AB31" s="361"/>
      <c r="AC31" s="958"/>
      <c r="AD31" s="959"/>
      <c r="AE31" s="959"/>
      <c r="AF31" s="960"/>
      <c r="AG31" s="546">
        <v>0</v>
      </c>
      <c r="AH31" s="546">
        <v>0</v>
      </c>
      <c r="AI31" s="547"/>
      <c r="AJ31" s="548"/>
      <c r="AK31" s="323"/>
      <c r="AL31" s="549">
        <f t="shared" si="2"/>
        <v>0</v>
      </c>
      <c r="AM31" s="549">
        <f t="shared" si="3"/>
        <v>0</v>
      </c>
    </row>
    <row r="32" spans="1:39">
      <c r="B32" s="361"/>
      <c r="C32" s="958"/>
      <c r="D32" s="959"/>
      <c r="E32" s="959"/>
      <c r="F32" s="960"/>
      <c r="G32" s="546">
        <v>0</v>
      </c>
      <c r="H32" s="546">
        <v>0</v>
      </c>
      <c r="I32" s="547"/>
      <c r="J32" s="548"/>
      <c r="K32" s="323"/>
      <c r="L32" s="549">
        <f t="shared" si="5"/>
        <v>0</v>
      </c>
      <c r="M32" s="549">
        <f t="shared" si="4"/>
        <v>0</v>
      </c>
      <c r="O32" s="361"/>
      <c r="P32" s="958"/>
      <c r="Q32" s="959"/>
      <c r="R32" s="959"/>
      <c r="S32" s="960"/>
      <c r="T32" s="546">
        <v>0</v>
      </c>
      <c r="U32" s="546">
        <v>0</v>
      </c>
      <c r="V32" s="547"/>
      <c r="W32" s="548"/>
      <c r="X32" s="323"/>
      <c r="Y32" s="549">
        <f t="shared" si="0"/>
        <v>0</v>
      </c>
      <c r="Z32" s="549">
        <f t="shared" si="1"/>
        <v>0</v>
      </c>
      <c r="AB32" s="361"/>
      <c r="AC32" s="958"/>
      <c r="AD32" s="959"/>
      <c r="AE32" s="959"/>
      <c r="AF32" s="960"/>
      <c r="AG32" s="546">
        <v>0</v>
      </c>
      <c r="AH32" s="546">
        <v>0</v>
      </c>
      <c r="AI32" s="547"/>
      <c r="AJ32" s="548"/>
      <c r="AK32" s="323"/>
      <c r="AL32" s="549">
        <f t="shared" si="2"/>
        <v>0</v>
      </c>
      <c r="AM32" s="549">
        <f t="shared" si="3"/>
        <v>0</v>
      </c>
    </row>
    <row r="33" spans="1:39">
      <c r="B33" s="361"/>
      <c r="C33" s="958"/>
      <c r="D33" s="959"/>
      <c r="E33" s="959"/>
      <c r="F33" s="960"/>
      <c r="G33" s="546">
        <v>0</v>
      </c>
      <c r="H33" s="546">
        <v>0</v>
      </c>
      <c r="I33" s="547"/>
      <c r="J33" s="548"/>
      <c r="K33" s="323"/>
      <c r="L33" s="549">
        <f t="shared" si="5"/>
        <v>0</v>
      </c>
      <c r="M33" s="549">
        <f t="shared" si="4"/>
        <v>0</v>
      </c>
      <c r="O33" s="361"/>
      <c r="P33" s="958"/>
      <c r="Q33" s="959"/>
      <c r="R33" s="959"/>
      <c r="S33" s="960"/>
      <c r="T33" s="546">
        <v>0</v>
      </c>
      <c r="U33" s="546">
        <v>0</v>
      </c>
      <c r="V33" s="547"/>
      <c r="W33" s="548"/>
      <c r="X33" s="323"/>
      <c r="Y33" s="549">
        <f t="shared" si="0"/>
        <v>0</v>
      </c>
      <c r="Z33" s="549">
        <f t="shared" si="1"/>
        <v>0</v>
      </c>
      <c r="AB33" s="361"/>
      <c r="AC33" s="958"/>
      <c r="AD33" s="959"/>
      <c r="AE33" s="959"/>
      <c r="AF33" s="960"/>
      <c r="AG33" s="546">
        <v>0</v>
      </c>
      <c r="AH33" s="546">
        <v>0</v>
      </c>
      <c r="AI33" s="547"/>
      <c r="AJ33" s="548"/>
      <c r="AK33" s="323"/>
      <c r="AL33" s="549">
        <f t="shared" si="2"/>
        <v>0</v>
      </c>
      <c r="AM33" s="549">
        <f t="shared" si="3"/>
        <v>0</v>
      </c>
    </row>
    <row r="34" spans="1:39">
      <c r="B34" s="361"/>
      <c r="C34" s="958"/>
      <c r="D34" s="959"/>
      <c r="E34" s="959"/>
      <c r="F34" s="960"/>
      <c r="G34" s="546">
        <v>0</v>
      </c>
      <c r="H34" s="546">
        <v>0</v>
      </c>
      <c r="I34" s="547"/>
      <c r="J34" s="548"/>
      <c r="K34" s="323"/>
      <c r="L34" s="549">
        <f t="shared" si="5"/>
        <v>0</v>
      </c>
      <c r="M34" s="549">
        <f t="shared" si="4"/>
        <v>0</v>
      </c>
      <c r="O34" s="361"/>
      <c r="P34" s="958"/>
      <c r="Q34" s="959"/>
      <c r="R34" s="959"/>
      <c r="S34" s="960"/>
      <c r="T34" s="546">
        <v>0</v>
      </c>
      <c r="U34" s="546">
        <v>0</v>
      </c>
      <c r="V34" s="547"/>
      <c r="W34" s="548"/>
      <c r="X34" s="323"/>
      <c r="Y34" s="549">
        <f t="shared" si="0"/>
        <v>0</v>
      </c>
      <c r="Z34" s="549">
        <f t="shared" si="1"/>
        <v>0</v>
      </c>
      <c r="AB34" s="361"/>
      <c r="AC34" s="958"/>
      <c r="AD34" s="959"/>
      <c r="AE34" s="959"/>
      <c r="AF34" s="960"/>
      <c r="AG34" s="546">
        <v>0</v>
      </c>
      <c r="AH34" s="546">
        <v>0</v>
      </c>
      <c r="AI34" s="547"/>
      <c r="AJ34" s="548"/>
      <c r="AK34" s="323"/>
      <c r="AL34" s="549">
        <f t="shared" si="2"/>
        <v>0</v>
      </c>
      <c r="AM34" s="549">
        <f t="shared" si="3"/>
        <v>0</v>
      </c>
    </row>
    <row r="35" spans="1:39">
      <c r="B35" s="361"/>
      <c r="C35" s="958"/>
      <c r="D35" s="959"/>
      <c r="E35" s="959"/>
      <c r="F35" s="960"/>
      <c r="G35" s="546">
        <v>0</v>
      </c>
      <c r="H35" s="546">
        <v>0</v>
      </c>
      <c r="I35" s="547"/>
      <c r="J35" s="548"/>
      <c r="K35" s="323"/>
      <c r="L35" s="549">
        <f t="shared" si="5"/>
        <v>0</v>
      </c>
      <c r="M35" s="549">
        <f t="shared" si="4"/>
        <v>0</v>
      </c>
      <c r="O35" s="361"/>
      <c r="P35" s="958"/>
      <c r="Q35" s="959"/>
      <c r="R35" s="959"/>
      <c r="S35" s="960"/>
      <c r="T35" s="546">
        <v>0</v>
      </c>
      <c r="U35" s="546">
        <v>0</v>
      </c>
      <c r="V35" s="547"/>
      <c r="W35" s="548"/>
      <c r="X35" s="323"/>
      <c r="Y35" s="549">
        <f t="shared" si="0"/>
        <v>0</v>
      </c>
      <c r="Z35" s="549">
        <f t="shared" si="1"/>
        <v>0</v>
      </c>
      <c r="AB35" s="361"/>
      <c r="AC35" s="958"/>
      <c r="AD35" s="959"/>
      <c r="AE35" s="959"/>
      <c r="AF35" s="960"/>
      <c r="AG35" s="546">
        <v>0</v>
      </c>
      <c r="AH35" s="546">
        <v>0</v>
      </c>
      <c r="AI35" s="547"/>
      <c r="AJ35" s="548"/>
      <c r="AK35" s="323"/>
      <c r="AL35" s="549">
        <f t="shared" si="2"/>
        <v>0</v>
      </c>
      <c r="AM35" s="549">
        <f t="shared" si="3"/>
        <v>0</v>
      </c>
    </row>
    <row r="36" spans="1:39">
      <c r="B36" s="361"/>
      <c r="C36" s="958"/>
      <c r="D36" s="959"/>
      <c r="E36" s="959"/>
      <c r="F36" s="960"/>
      <c r="G36" s="546">
        <v>0</v>
      </c>
      <c r="H36" s="546">
        <v>0</v>
      </c>
      <c r="I36" s="547"/>
      <c r="J36" s="548"/>
      <c r="K36" s="323"/>
      <c r="L36" s="549">
        <f t="shared" si="5"/>
        <v>0</v>
      </c>
      <c r="M36" s="549">
        <f t="shared" si="4"/>
        <v>0</v>
      </c>
      <c r="O36" s="361"/>
      <c r="P36" s="958"/>
      <c r="Q36" s="959"/>
      <c r="R36" s="959"/>
      <c r="S36" s="960"/>
      <c r="T36" s="546">
        <v>0</v>
      </c>
      <c r="U36" s="546">
        <v>0</v>
      </c>
      <c r="V36" s="547"/>
      <c r="W36" s="548"/>
      <c r="X36" s="323"/>
      <c r="Y36" s="549">
        <f t="shared" si="0"/>
        <v>0</v>
      </c>
      <c r="Z36" s="549">
        <f t="shared" si="1"/>
        <v>0</v>
      </c>
      <c r="AB36" s="361"/>
      <c r="AC36" s="958"/>
      <c r="AD36" s="959"/>
      <c r="AE36" s="959"/>
      <c r="AF36" s="960"/>
      <c r="AG36" s="546">
        <v>0</v>
      </c>
      <c r="AH36" s="546">
        <v>0</v>
      </c>
      <c r="AI36" s="547"/>
      <c r="AJ36" s="548"/>
      <c r="AK36" s="323"/>
      <c r="AL36" s="549">
        <f t="shared" si="2"/>
        <v>0</v>
      </c>
      <c r="AM36" s="549">
        <f t="shared" si="3"/>
        <v>0</v>
      </c>
    </row>
    <row r="37" spans="1:39">
      <c r="B37" s="361"/>
      <c r="C37" s="958"/>
      <c r="D37" s="959"/>
      <c r="E37" s="959"/>
      <c r="F37" s="960"/>
      <c r="G37" s="546">
        <v>0</v>
      </c>
      <c r="H37" s="546">
        <v>0</v>
      </c>
      <c r="I37" s="547"/>
      <c r="J37" s="548"/>
      <c r="K37" s="323"/>
      <c r="L37" s="549">
        <f t="shared" si="5"/>
        <v>0</v>
      </c>
      <c r="M37" s="549">
        <f t="shared" si="4"/>
        <v>0</v>
      </c>
      <c r="O37" s="361"/>
      <c r="P37" s="958"/>
      <c r="Q37" s="959"/>
      <c r="R37" s="959"/>
      <c r="S37" s="960"/>
      <c r="T37" s="546">
        <v>0</v>
      </c>
      <c r="U37" s="546">
        <v>0</v>
      </c>
      <c r="V37" s="547"/>
      <c r="W37" s="548"/>
      <c r="X37" s="323"/>
      <c r="Y37" s="549">
        <f t="shared" si="0"/>
        <v>0</v>
      </c>
      <c r="Z37" s="549">
        <f t="shared" si="1"/>
        <v>0</v>
      </c>
      <c r="AB37" s="361"/>
      <c r="AC37" s="958"/>
      <c r="AD37" s="959"/>
      <c r="AE37" s="959"/>
      <c r="AF37" s="960"/>
      <c r="AG37" s="546">
        <v>0</v>
      </c>
      <c r="AH37" s="546">
        <v>0</v>
      </c>
      <c r="AI37" s="547"/>
      <c r="AJ37" s="548"/>
      <c r="AK37" s="323"/>
      <c r="AL37" s="549">
        <f t="shared" si="2"/>
        <v>0</v>
      </c>
      <c r="AM37" s="549">
        <f t="shared" si="3"/>
        <v>0</v>
      </c>
    </row>
    <row r="38" spans="1:39">
      <c r="B38" s="361"/>
      <c r="C38" s="958"/>
      <c r="D38" s="959"/>
      <c r="E38" s="959"/>
      <c r="F38" s="960"/>
      <c r="G38" s="546">
        <v>0</v>
      </c>
      <c r="H38" s="546">
        <v>0</v>
      </c>
      <c r="I38" s="547"/>
      <c r="J38" s="548"/>
      <c r="K38" s="323"/>
      <c r="L38" s="549">
        <f t="shared" si="5"/>
        <v>0</v>
      </c>
      <c r="M38" s="549">
        <f t="shared" si="4"/>
        <v>0</v>
      </c>
      <c r="O38" s="361"/>
      <c r="P38" s="958"/>
      <c r="Q38" s="959"/>
      <c r="R38" s="959"/>
      <c r="S38" s="960"/>
      <c r="T38" s="546">
        <v>0</v>
      </c>
      <c r="U38" s="546">
        <v>0</v>
      </c>
      <c r="V38" s="547"/>
      <c r="W38" s="548"/>
      <c r="X38" s="323"/>
      <c r="Y38" s="549">
        <f t="shared" si="0"/>
        <v>0</v>
      </c>
      <c r="Z38" s="549">
        <f t="shared" si="1"/>
        <v>0</v>
      </c>
      <c r="AB38" s="361"/>
      <c r="AC38" s="958"/>
      <c r="AD38" s="959"/>
      <c r="AE38" s="959"/>
      <c r="AF38" s="960"/>
      <c r="AG38" s="546">
        <v>0</v>
      </c>
      <c r="AH38" s="546">
        <v>0</v>
      </c>
      <c r="AI38" s="547"/>
      <c r="AJ38" s="548"/>
      <c r="AK38" s="323"/>
      <c r="AL38" s="549">
        <f t="shared" si="2"/>
        <v>0</v>
      </c>
      <c r="AM38" s="549">
        <f t="shared" si="3"/>
        <v>0</v>
      </c>
    </row>
    <row r="39" spans="1:39">
      <c r="B39" s="361"/>
      <c r="C39" s="958"/>
      <c r="D39" s="959"/>
      <c r="E39" s="959"/>
      <c r="F39" s="960"/>
      <c r="G39" s="546">
        <v>0</v>
      </c>
      <c r="H39" s="546">
        <v>0</v>
      </c>
      <c r="I39" s="547"/>
      <c r="J39" s="548"/>
      <c r="K39" s="323"/>
      <c r="L39" s="549">
        <f t="shared" si="5"/>
        <v>0</v>
      </c>
      <c r="M39" s="549">
        <f t="shared" si="4"/>
        <v>0</v>
      </c>
      <c r="O39" s="361"/>
      <c r="P39" s="958"/>
      <c r="Q39" s="959"/>
      <c r="R39" s="959"/>
      <c r="S39" s="960"/>
      <c r="T39" s="546">
        <v>0</v>
      </c>
      <c r="U39" s="546">
        <v>0</v>
      </c>
      <c r="V39" s="547"/>
      <c r="W39" s="548"/>
      <c r="X39" s="323"/>
      <c r="Y39" s="549">
        <f t="shared" si="0"/>
        <v>0</v>
      </c>
      <c r="Z39" s="549">
        <f t="shared" si="1"/>
        <v>0</v>
      </c>
      <c r="AB39" s="361"/>
      <c r="AC39" s="958"/>
      <c r="AD39" s="959"/>
      <c r="AE39" s="959"/>
      <c r="AF39" s="960"/>
      <c r="AG39" s="546">
        <v>0</v>
      </c>
      <c r="AH39" s="546">
        <v>0</v>
      </c>
      <c r="AI39" s="547"/>
      <c r="AJ39" s="548"/>
      <c r="AK39" s="323"/>
      <c r="AL39" s="549">
        <f t="shared" si="2"/>
        <v>0</v>
      </c>
      <c r="AM39" s="549">
        <f t="shared" si="3"/>
        <v>0</v>
      </c>
    </row>
    <row r="40" spans="1:39" ht="15.5" thickBot="1">
      <c r="B40" s="529"/>
      <c r="C40" s="961"/>
      <c r="D40" s="962"/>
      <c r="E40" s="962"/>
      <c r="F40" s="963"/>
      <c r="G40" s="550">
        <v>0</v>
      </c>
      <c r="H40" s="550">
        <v>0</v>
      </c>
      <c r="I40" s="553"/>
      <c r="J40" s="551"/>
      <c r="K40" s="453"/>
      <c r="L40" s="552">
        <f t="shared" si="5"/>
        <v>0</v>
      </c>
      <c r="M40" s="552">
        <f t="shared" si="4"/>
        <v>0</v>
      </c>
      <c r="O40" s="529"/>
      <c r="P40" s="961"/>
      <c r="Q40" s="962"/>
      <c r="R40" s="962"/>
      <c r="S40" s="963"/>
      <c r="T40" s="550">
        <v>0</v>
      </c>
      <c r="U40" s="550">
        <v>0</v>
      </c>
      <c r="V40" s="553"/>
      <c r="W40" s="551"/>
      <c r="X40" s="453"/>
      <c r="Y40" s="552">
        <f t="shared" si="0"/>
        <v>0</v>
      </c>
      <c r="Z40" s="552">
        <f t="shared" si="1"/>
        <v>0</v>
      </c>
      <c r="AB40" s="529"/>
      <c r="AC40" s="961"/>
      <c r="AD40" s="962"/>
      <c r="AE40" s="962"/>
      <c r="AF40" s="963"/>
      <c r="AG40" s="550">
        <v>0</v>
      </c>
      <c r="AH40" s="550">
        <v>0</v>
      </c>
      <c r="AI40" s="553"/>
      <c r="AJ40" s="551"/>
      <c r="AK40" s="453"/>
      <c r="AL40" s="552">
        <f t="shared" si="2"/>
        <v>0</v>
      </c>
      <c r="AM40" s="552">
        <f t="shared" si="3"/>
        <v>0</v>
      </c>
    </row>
    <row r="41" spans="1:39" ht="16" thickTop="1" thickBot="1">
      <c r="B41" s="531"/>
      <c r="C41" s="532"/>
      <c r="D41" s="532"/>
      <c r="E41" s="532"/>
      <c r="F41" s="532"/>
      <c r="G41" s="532"/>
      <c r="H41" s="532"/>
      <c r="I41" s="532"/>
      <c r="J41" s="532"/>
      <c r="K41" s="533" t="s">
        <v>1592</v>
      </c>
      <c r="L41" s="534">
        <f>SUM(L22:L40)</f>
        <v>700.84100000000001</v>
      </c>
      <c r="M41" s="535">
        <f>SUM(M22:M40)</f>
        <v>0.70084100000000005</v>
      </c>
      <c r="O41" s="531"/>
      <c r="P41" s="532"/>
      <c r="Q41" s="532"/>
      <c r="R41" s="532"/>
      <c r="S41" s="532"/>
      <c r="T41" s="532"/>
      <c r="U41" s="532"/>
      <c r="V41" s="532"/>
      <c r="W41" s="532"/>
      <c r="X41" s="533" t="s">
        <v>1592</v>
      </c>
      <c r="Y41" s="534">
        <f>SUM(Y22:Y40)</f>
        <v>0</v>
      </c>
      <c r="Z41" s="535">
        <f>SUM(Z22:Z40)</f>
        <v>0</v>
      </c>
      <c r="AB41" s="531"/>
      <c r="AC41" s="532"/>
      <c r="AD41" s="532"/>
      <c r="AE41" s="532"/>
      <c r="AF41" s="532"/>
      <c r="AG41" s="532"/>
      <c r="AH41" s="532"/>
      <c r="AI41" s="532"/>
      <c r="AJ41" s="532"/>
      <c r="AK41" s="533" t="s">
        <v>1592</v>
      </c>
      <c r="AL41" s="534">
        <f>SUM(AL22:AL40)</f>
        <v>0</v>
      </c>
      <c r="AM41" s="535">
        <f>SUM(AM22:AM40)</f>
        <v>0</v>
      </c>
    </row>
    <row r="42" spans="1:39" ht="15.5" thickTop="1"/>
    <row r="43" spans="1:39">
      <c r="B43" s="536"/>
      <c r="C43" s="537"/>
      <c r="D43" s="537"/>
      <c r="E43" s="537"/>
      <c r="F43" s="537"/>
      <c r="G43" s="537"/>
      <c r="H43" s="537"/>
      <c r="I43" s="537"/>
      <c r="J43" s="537"/>
      <c r="K43" s="538" t="s">
        <v>1575</v>
      </c>
      <c r="L43" s="539">
        <f>SUMIF(B22:B40,1,L22:L40)</f>
        <v>503.84100000000001</v>
      </c>
      <c r="M43" s="540">
        <f>L43*0.001</f>
        <v>0.50384099999999998</v>
      </c>
      <c r="O43" s="536"/>
      <c r="P43" s="537"/>
      <c r="Q43" s="537"/>
      <c r="R43" s="537"/>
      <c r="S43" s="537"/>
      <c r="T43" s="537"/>
      <c r="U43" s="537"/>
      <c r="V43" s="537"/>
      <c r="W43" s="537"/>
      <c r="X43" s="538" t="s">
        <v>1575</v>
      </c>
      <c r="Y43" s="539">
        <f>SUMIF(O22:O40,1,Y22:Y40)</f>
        <v>0</v>
      </c>
      <c r="Z43" s="540">
        <f>Y43*0.001</f>
        <v>0</v>
      </c>
      <c r="AB43" s="536"/>
      <c r="AC43" s="537"/>
      <c r="AD43" s="537"/>
      <c r="AE43" s="537"/>
      <c r="AF43" s="537"/>
      <c r="AG43" s="537"/>
      <c r="AH43" s="537"/>
      <c r="AI43" s="537"/>
      <c r="AJ43" s="537"/>
      <c r="AK43" s="538" t="s">
        <v>1575</v>
      </c>
      <c r="AL43" s="539">
        <f>SUMIF(AB22:AB40,1,AL22:AL40)</f>
        <v>0</v>
      </c>
      <c r="AM43" s="540">
        <f>AL43*0.001</f>
        <v>0</v>
      </c>
    </row>
    <row r="44" spans="1:39">
      <c r="B44" s="536"/>
      <c r="C44" s="537"/>
      <c r="D44" s="537"/>
      <c r="E44" s="537"/>
      <c r="F44" s="537"/>
      <c r="G44" s="537"/>
      <c r="H44" s="537"/>
      <c r="I44" s="537"/>
      <c r="J44" s="537"/>
      <c r="K44" s="538" t="s">
        <v>1576</v>
      </c>
      <c r="L44" s="539">
        <f>SUMIF(B22:B40,2,L22:L40)</f>
        <v>197</v>
      </c>
      <c r="M44" s="540">
        <f t="shared" ref="M44:M45" si="6">L44*0.001</f>
        <v>0.19700000000000001</v>
      </c>
      <c r="O44" s="536"/>
      <c r="P44" s="537"/>
      <c r="Q44" s="537"/>
      <c r="R44" s="537"/>
      <c r="S44" s="537"/>
      <c r="T44" s="537"/>
      <c r="U44" s="537"/>
      <c r="V44" s="537"/>
      <c r="W44" s="537"/>
      <c r="X44" s="538" t="s">
        <v>1576</v>
      </c>
      <c r="Y44" s="539">
        <f>SUMIF(O22:O40,2,Y22:Y40)</f>
        <v>0</v>
      </c>
      <c r="Z44" s="540">
        <f>Y44*0.001</f>
        <v>0</v>
      </c>
      <c r="AB44" s="536"/>
      <c r="AC44" s="537"/>
      <c r="AD44" s="537"/>
      <c r="AE44" s="537"/>
      <c r="AF44" s="537"/>
      <c r="AG44" s="537"/>
      <c r="AH44" s="537"/>
      <c r="AI44" s="537"/>
      <c r="AJ44" s="537"/>
      <c r="AK44" s="538" t="s">
        <v>1576</v>
      </c>
      <c r="AL44" s="539">
        <f>SUMIF(AB22:AB40,2,AL22:AL40)</f>
        <v>0</v>
      </c>
      <c r="AM44" s="540">
        <f>AL44*0.001</f>
        <v>0</v>
      </c>
    </row>
    <row r="45" spans="1:39">
      <c r="B45" s="536"/>
      <c r="C45" s="537"/>
      <c r="D45" s="537"/>
      <c r="E45" s="537"/>
      <c r="F45" s="537"/>
      <c r="G45" s="537"/>
      <c r="H45" s="537"/>
      <c r="I45" s="537"/>
      <c r="J45" s="537"/>
      <c r="K45" s="538" t="s">
        <v>1577</v>
      </c>
      <c r="L45" s="539">
        <f>SUMIF(B22:B40,3,L22:L40)</f>
        <v>0</v>
      </c>
      <c r="M45" s="540">
        <f t="shared" si="6"/>
        <v>0</v>
      </c>
      <c r="O45" s="536"/>
      <c r="P45" s="537"/>
      <c r="Q45" s="537"/>
      <c r="R45" s="537"/>
      <c r="S45" s="537"/>
      <c r="T45" s="537"/>
      <c r="U45" s="537"/>
      <c r="V45" s="537"/>
      <c r="W45" s="537"/>
      <c r="X45" s="538" t="s">
        <v>1577</v>
      </c>
      <c r="Y45" s="539">
        <f>SUMIF(O22:O40,3,Y22:Y40)</f>
        <v>0</v>
      </c>
      <c r="Z45" s="540">
        <f>Y45*0.001</f>
        <v>0</v>
      </c>
      <c r="AB45" s="536"/>
      <c r="AC45" s="537"/>
      <c r="AD45" s="537"/>
      <c r="AE45" s="537"/>
      <c r="AF45" s="537"/>
      <c r="AG45" s="537"/>
      <c r="AH45" s="537"/>
      <c r="AI45" s="537"/>
      <c r="AJ45" s="537"/>
      <c r="AK45" s="538" t="s">
        <v>1577</v>
      </c>
      <c r="AL45" s="539">
        <f>SUMIF(AB22:AB40,3,AL22:AL40)</f>
        <v>0</v>
      </c>
      <c r="AM45" s="540">
        <f>AL45*0.001</f>
        <v>0</v>
      </c>
    </row>
    <row r="46" spans="1:39" ht="15" customHeight="1"/>
    <row r="47" spans="1:39" ht="14">
      <c r="A47" s="297"/>
    </row>
    <row r="58" spans="1:1" ht="14">
      <c r="A58" s="297"/>
    </row>
    <row r="59" spans="1:1" ht="14">
      <c r="A59" s="297"/>
    </row>
    <row r="60" spans="1:1" ht="14">
      <c r="A60" s="297"/>
    </row>
    <row r="61" spans="1:1" ht="14">
      <c r="A61" s="297"/>
    </row>
    <row r="78" spans="1:1" ht="14">
      <c r="A78" s="297"/>
    </row>
  </sheetData>
  <mergeCells count="75">
    <mergeCell ref="AC36:AF36"/>
    <mergeCell ref="AC37:AF37"/>
    <mergeCell ref="AC38:AF38"/>
    <mergeCell ref="AC39:AF39"/>
    <mergeCell ref="AC40:AF40"/>
    <mergeCell ref="AC31:AF31"/>
    <mergeCell ref="AC32:AF32"/>
    <mergeCell ref="AC33:AF33"/>
    <mergeCell ref="AC34:AF34"/>
    <mergeCell ref="AC35:AF35"/>
    <mergeCell ref="AC26:AF26"/>
    <mergeCell ref="AC27:AF27"/>
    <mergeCell ref="AC28:AF28"/>
    <mergeCell ref="AC29:AF29"/>
    <mergeCell ref="AC30:AF30"/>
    <mergeCell ref="AL20:AM20"/>
    <mergeCell ref="AC22:AF22"/>
    <mergeCell ref="AC23:AF23"/>
    <mergeCell ref="AC24:AF24"/>
    <mergeCell ref="AC25:AF25"/>
    <mergeCell ref="AB20:AB21"/>
    <mergeCell ref="AC20:AF21"/>
    <mergeCell ref="AI20:AI21"/>
    <mergeCell ref="AJ20:AJ21"/>
    <mergeCell ref="AK20:AK21"/>
    <mergeCell ref="P36:S36"/>
    <mergeCell ref="P37:S37"/>
    <mergeCell ref="P38:S38"/>
    <mergeCell ref="P39:S39"/>
    <mergeCell ref="P40:S40"/>
    <mergeCell ref="P31:S31"/>
    <mergeCell ref="P32:S32"/>
    <mergeCell ref="P33:S33"/>
    <mergeCell ref="P34:S34"/>
    <mergeCell ref="P35:S35"/>
    <mergeCell ref="P26:S26"/>
    <mergeCell ref="P27:S27"/>
    <mergeCell ref="P28:S28"/>
    <mergeCell ref="P29:S29"/>
    <mergeCell ref="P30:S30"/>
    <mergeCell ref="Y20:Z20"/>
    <mergeCell ref="P22:S22"/>
    <mergeCell ref="P23:S23"/>
    <mergeCell ref="P24:S24"/>
    <mergeCell ref="P25:S25"/>
    <mergeCell ref="O20:O21"/>
    <mergeCell ref="P20:S21"/>
    <mergeCell ref="V20:V21"/>
    <mergeCell ref="W20:W21"/>
    <mergeCell ref="X20:X21"/>
    <mergeCell ref="B20:B21"/>
    <mergeCell ref="I20:I21"/>
    <mergeCell ref="J20:J21"/>
    <mergeCell ref="C40:F40"/>
    <mergeCell ref="C32:F32"/>
    <mergeCell ref="C33:F33"/>
    <mergeCell ref="C34:F34"/>
    <mergeCell ref="C35:F35"/>
    <mergeCell ref="C36:F36"/>
    <mergeCell ref="K20:K21"/>
    <mergeCell ref="L20:M20"/>
    <mergeCell ref="C37:F37"/>
    <mergeCell ref="C38:F38"/>
    <mergeCell ref="C39:F39"/>
    <mergeCell ref="C27:F27"/>
    <mergeCell ref="C28:F28"/>
    <mergeCell ref="C29:F29"/>
    <mergeCell ref="C30:F30"/>
    <mergeCell ref="C31:F31"/>
    <mergeCell ref="C22:F22"/>
    <mergeCell ref="C23:F23"/>
    <mergeCell ref="C24:F24"/>
    <mergeCell ref="C25:F25"/>
    <mergeCell ref="C26:F26"/>
    <mergeCell ref="C20:F21"/>
  </mergeCells>
  <hyperlinks>
    <hyperlink ref="A2" location="Sisukord!A1" display="Sisukord"/>
    <hyperlink ref="B10" r:id="rId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Viited!$B$69:$B$71</xm:f>
          </x14:formula1>
          <xm:sqref>J22:J40 W22:W40 AJ22:AJ40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M76"/>
  <sheetViews>
    <sheetView showGridLines="0" zoomScale="90" zoomScaleNormal="90" workbookViewId="0">
      <pane xSplit="1" ySplit="1" topLeftCell="B11" activePane="bottomRight" state="frozen"/>
      <selection activeCell="B5" sqref="B5"/>
      <selection pane="topRight" activeCell="B5" sqref="B5"/>
      <selection pane="bottomLeft" activeCell="B5" sqref="B5"/>
      <selection pane="bottomRight" activeCell="AQ44" sqref="AQ44"/>
    </sheetView>
  </sheetViews>
  <sheetFormatPr defaultColWidth="8.7265625" defaultRowHeight="15"/>
  <cols>
    <col min="1" max="1" width="7.1796875" style="302" customWidth="1"/>
    <col min="2" max="2" width="9.7265625" style="297" customWidth="1"/>
    <col min="3" max="5" width="9.54296875" style="297" customWidth="1"/>
    <col min="6" max="6" width="8.54296875" style="297" customWidth="1"/>
    <col min="7" max="8" width="12.54296875" style="297" customWidth="1"/>
    <col min="9" max="9" width="15.54296875" style="297" customWidth="1"/>
    <col min="10" max="10" width="16.54296875" style="297" customWidth="1"/>
    <col min="11" max="11" width="43.453125" style="297" customWidth="1"/>
    <col min="12" max="13" width="14" style="297" customWidth="1"/>
    <col min="14" max="14" width="8.7265625" style="297"/>
    <col min="15" max="15" width="9.7265625" style="297" customWidth="1"/>
    <col min="16" max="18" width="9.81640625" style="297" customWidth="1"/>
    <col min="19" max="19" width="8.81640625" style="297" customWidth="1"/>
    <col min="20" max="21" width="12.81640625" style="297" customWidth="1"/>
    <col min="22" max="22" width="15.54296875" style="297" customWidth="1"/>
    <col min="23" max="23" width="16.81640625" style="297" customWidth="1"/>
    <col min="24" max="24" width="43.1796875" style="297" customWidth="1"/>
    <col min="25" max="26" width="14" style="297" customWidth="1"/>
    <col min="27" max="27" width="8.7265625" style="297"/>
    <col min="28" max="28" width="9.7265625" style="297" customWidth="1"/>
    <col min="29" max="31" width="9.81640625" style="297" customWidth="1"/>
    <col min="32" max="32" width="8.81640625" style="297" customWidth="1"/>
    <col min="33" max="34" width="12.81640625" style="297" customWidth="1"/>
    <col min="35" max="35" width="15.54296875" style="297" customWidth="1"/>
    <col min="36" max="36" width="16.81640625" style="297" customWidth="1"/>
    <col min="37" max="37" width="43.1796875" style="297" customWidth="1"/>
    <col min="38" max="39" width="14" style="297" customWidth="1"/>
    <col min="40" max="16384" width="8.7265625" style="297"/>
  </cols>
  <sheetData>
    <row r="1" spans="1:13" s="293" customFormat="1" ht="21" customHeight="1">
      <c r="B1" s="291" t="s">
        <v>1557</v>
      </c>
      <c r="C1" s="319"/>
      <c r="D1" s="319"/>
      <c r="E1" s="319"/>
    </row>
    <row r="2" spans="1:13" ht="14">
      <c r="A2" s="295" t="s">
        <v>1</v>
      </c>
      <c r="B2" s="516" t="s">
        <v>1801</v>
      </c>
      <c r="C2" s="517"/>
      <c r="D2" s="517"/>
      <c r="E2" s="517"/>
      <c r="F2" s="517"/>
      <c r="G2" s="517"/>
      <c r="H2" s="517"/>
      <c r="I2" s="517"/>
      <c r="J2" s="517"/>
      <c r="K2" s="517"/>
      <c r="L2" s="517"/>
      <c r="M2" s="518"/>
    </row>
    <row r="3" spans="1:13" ht="15" customHeight="1">
      <c r="A3" s="295"/>
      <c r="B3" s="519" t="s">
        <v>1885</v>
      </c>
      <c r="M3" s="520"/>
    </row>
    <row r="4" spans="1:13" ht="14">
      <c r="A4" s="295"/>
      <c r="B4" s="519" t="s">
        <v>1886</v>
      </c>
      <c r="M4" s="520"/>
    </row>
    <row r="5" spans="1:13" ht="14">
      <c r="A5" s="295"/>
      <c r="B5" s="519" t="s">
        <v>1431</v>
      </c>
      <c r="M5" s="520"/>
    </row>
    <row r="6" spans="1:13" ht="14">
      <c r="A6" s="297"/>
      <c r="B6" s="519" t="s">
        <v>1887</v>
      </c>
      <c r="C6" s="487"/>
      <c r="D6" s="487"/>
      <c r="E6" s="487"/>
      <c r="M6" s="520"/>
    </row>
    <row r="7" spans="1:13" ht="14">
      <c r="A7" s="297"/>
      <c r="B7" s="519" t="s">
        <v>1888</v>
      </c>
      <c r="C7" s="487"/>
      <c r="D7" s="487"/>
      <c r="E7" s="487"/>
      <c r="M7" s="520"/>
    </row>
    <row r="8" spans="1:13" ht="14">
      <c r="A8" s="297"/>
      <c r="B8" s="519" t="s">
        <v>1433</v>
      </c>
      <c r="C8" s="487"/>
      <c r="D8" s="487"/>
      <c r="E8" s="487"/>
      <c r="M8" s="520"/>
    </row>
    <row r="9" spans="1:13" ht="14">
      <c r="A9" s="297"/>
      <c r="B9" s="519" t="s">
        <v>1436</v>
      </c>
      <c r="M9" s="520"/>
    </row>
    <row r="10" spans="1:13" ht="14">
      <c r="A10" s="297"/>
      <c r="B10" s="541" t="s">
        <v>1435</v>
      </c>
      <c r="M10" s="520"/>
    </row>
    <row r="11" spans="1:13" ht="14">
      <c r="A11" s="297"/>
      <c r="B11" s="541"/>
      <c r="M11" s="520"/>
    </row>
    <row r="12" spans="1:13" ht="16">
      <c r="A12" s="297"/>
      <c r="B12" s="519" t="s">
        <v>2087</v>
      </c>
      <c r="M12" s="520"/>
    </row>
    <row r="13" spans="1:13" ht="14">
      <c r="A13" s="297"/>
      <c r="B13" s="519" t="s">
        <v>1802</v>
      </c>
      <c r="M13" s="520"/>
    </row>
    <row r="14" spans="1:13" ht="14">
      <c r="A14" s="297"/>
      <c r="B14" s="519"/>
      <c r="M14" s="520"/>
    </row>
    <row r="15" spans="1:13" ht="14">
      <c r="A15" s="297"/>
      <c r="B15" s="523" t="s">
        <v>1746</v>
      </c>
      <c r="C15" s="524"/>
      <c r="D15" s="524"/>
      <c r="E15" s="524"/>
      <c r="F15" s="524"/>
      <c r="G15" s="524"/>
      <c r="H15" s="524"/>
      <c r="I15" s="524"/>
      <c r="J15" s="524"/>
      <c r="K15" s="524"/>
      <c r="L15" s="524"/>
      <c r="M15" s="525"/>
    </row>
    <row r="16" spans="1:13" ht="14.5" thickBot="1">
      <c r="A16" s="297"/>
    </row>
    <row r="17" spans="1:39" thickTop="1" thickBot="1">
      <c r="A17" s="297"/>
      <c r="B17" s="502" t="s">
        <v>55</v>
      </c>
      <c r="C17" s="526">
        <f>Organisatsioon!B23</f>
        <v>2021</v>
      </c>
      <c r="O17" s="502" t="s">
        <v>55</v>
      </c>
      <c r="P17" s="526">
        <f>Organisatsioon!B24</f>
        <v>2022</v>
      </c>
      <c r="AB17" s="502" t="s">
        <v>55</v>
      </c>
      <c r="AC17" s="526">
        <f>Organisatsioon!B25</f>
        <v>2023</v>
      </c>
    </row>
    <row r="18" spans="1:39" ht="14.5" thickTop="1">
      <c r="A18" s="297"/>
      <c r="B18" s="542"/>
      <c r="C18" s="542"/>
      <c r="D18" s="542"/>
      <c r="E18" s="542"/>
      <c r="O18" s="542"/>
      <c r="P18" s="542"/>
      <c r="Q18" s="542"/>
      <c r="R18" s="542"/>
      <c r="AB18" s="542"/>
      <c r="AC18" s="542"/>
      <c r="AD18" s="542"/>
      <c r="AE18" s="542"/>
    </row>
    <row r="19" spans="1:39" ht="14">
      <c r="A19" s="297"/>
      <c r="B19" s="308" t="s">
        <v>129</v>
      </c>
      <c r="C19" s="543"/>
      <c r="D19" s="543"/>
      <c r="E19" s="543"/>
      <c r="F19" s="543"/>
      <c r="G19" s="543"/>
      <c r="H19" s="543"/>
      <c r="I19" s="543"/>
      <c r="J19" s="543"/>
      <c r="K19" s="543"/>
      <c r="L19" s="543"/>
      <c r="M19" s="544"/>
      <c r="O19" s="308" t="s">
        <v>129</v>
      </c>
      <c r="P19" s="543"/>
      <c r="Q19" s="543"/>
      <c r="R19" s="543"/>
      <c r="S19" s="543"/>
      <c r="T19" s="543"/>
      <c r="U19" s="543"/>
      <c r="V19" s="543"/>
      <c r="W19" s="543"/>
      <c r="X19" s="543"/>
      <c r="Y19" s="543"/>
      <c r="Z19" s="544"/>
      <c r="AB19" s="308" t="s">
        <v>129</v>
      </c>
      <c r="AC19" s="543"/>
      <c r="AD19" s="543"/>
      <c r="AE19" s="543"/>
      <c r="AF19" s="543"/>
      <c r="AG19" s="543"/>
      <c r="AH19" s="543"/>
      <c r="AI19" s="543"/>
      <c r="AJ19" s="543"/>
      <c r="AK19" s="543"/>
      <c r="AL19" s="543"/>
      <c r="AM19" s="544"/>
    </row>
    <row r="20" spans="1:39" ht="14">
      <c r="A20" s="297"/>
      <c r="B20" s="925" t="s">
        <v>57</v>
      </c>
      <c r="C20" s="916" t="s">
        <v>130</v>
      </c>
      <c r="D20" s="945"/>
      <c r="E20" s="945"/>
      <c r="F20" s="917"/>
      <c r="G20" s="545" t="s">
        <v>67</v>
      </c>
      <c r="H20" s="545" t="s">
        <v>125</v>
      </c>
      <c r="I20" s="925" t="s">
        <v>126</v>
      </c>
      <c r="J20" s="925" t="s">
        <v>81</v>
      </c>
      <c r="K20" s="925" t="s">
        <v>127</v>
      </c>
      <c r="L20" s="895" t="s">
        <v>72</v>
      </c>
      <c r="M20" s="897"/>
      <c r="O20" s="925" t="s">
        <v>57</v>
      </c>
      <c r="P20" s="916" t="s">
        <v>130</v>
      </c>
      <c r="Q20" s="945"/>
      <c r="R20" s="945"/>
      <c r="S20" s="917"/>
      <c r="T20" s="545" t="s">
        <v>67</v>
      </c>
      <c r="U20" s="545" t="s">
        <v>125</v>
      </c>
      <c r="V20" s="925" t="s">
        <v>126</v>
      </c>
      <c r="W20" s="925" t="s">
        <v>81</v>
      </c>
      <c r="X20" s="925" t="s">
        <v>127</v>
      </c>
      <c r="Y20" s="895" t="s">
        <v>72</v>
      </c>
      <c r="Z20" s="897"/>
      <c r="AB20" s="925" t="s">
        <v>57</v>
      </c>
      <c r="AC20" s="916" t="s">
        <v>130</v>
      </c>
      <c r="AD20" s="945"/>
      <c r="AE20" s="945"/>
      <c r="AF20" s="917"/>
      <c r="AG20" s="545" t="s">
        <v>67</v>
      </c>
      <c r="AH20" s="545" t="s">
        <v>125</v>
      </c>
      <c r="AI20" s="925" t="s">
        <v>126</v>
      </c>
      <c r="AJ20" s="925" t="s">
        <v>81</v>
      </c>
      <c r="AK20" s="925" t="s">
        <v>127</v>
      </c>
      <c r="AL20" s="895" t="s">
        <v>72</v>
      </c>
      <c r="AM20" s="897"/>
    </row>
    <row r="21" spans="1:39" ht="16">
      <c r="B21" s="927"/>
      <c r="C21" s="920"/>
      <c r="D21" s="946"/>
      <c r="E21" s="946"/>
      <c r="F21" s="921"/>
      <c r="G21" s="527" t="s">
        <v>1432</v>
      </c>
      <c r="H21" s="527" t="s">
        <v>128</v>
      </c>
      <c r="I21" s="927"/>
      <c r="J21" s="927"/>
      <c r="K21" s="927"/>
      <c r="L21" s="527" t="s">
        <v>2085</v>
      </c>
      <c r="M21" s="527" t="s">
        <v>2086</v>
      </c>
      <c r="O21" s="927"/>
      <c r="P21" s="920"/>
      <c r="Q21" s="946"/>
      <c r="R21" s="946"/>
      <c r="S21" s="921"/>
      <c r="T21" s="527" t="s">
        <v>1432</v>
      </c>
      <c r="U21" s="527" t="s">
        <v>128</v>
      </c>
      <c r="V21" s="927"/>
      <c r="W21" s="927"/>
      <c r="X21" s="927"/>
      <c r="Y21" s="527" t="s">
        <v>2085</v>
      </c>
      <c r="Z21" s="527" t="s">
        <v>2086</v>
      </c>
      <c r="AB21" s="927"/>
      <c r="AC21" s="920"/>
      <c r="AD21" s="946"/>
      <c r="AE21" s="946"/>
      <c r="AF21" s="921"/>
      <c r="AG21" s="527" t="s">
        <v>1432</v>
      </c>
      <c r="AH21" s="527" t="s">
        <v>128</v>
      </c>
      <c r="AI21" s="927"/>
      <c r="AJ21" s="927"/>
      <c r="AK21" s="927"/>
      <c r="AL21" s="527" t="s">
        <v>2085</v>
      </c>
      <c r="AM21" s="527" t="s">
        <v>2086</v>
      </c>
    </row>
    <row r="22" spans="1:39">
      <c r="B22" s="361">
        <v>1</v>
      </c>
      <c r="C22" s="958" t="s">
        <v>1820</v>
      </c>
      <c r="D22" s="959"/>
      <c r="E22" s="959"/>
      <c r="F22" s="960"/>
      <c r="G22" s="546">
        <v>5600</v>
      </c>
      <c r="H22" s="546">
        <v>0</v>
      </c>
      <c r="I22" s="547"/>
      <c r="J22" s="548" t="s">
        <v>1578</v>
      </c>
      <c r="K22" s="323"/>
      <c r="L22" s="549">
        <f>IF(G22&gt;0,G22*I22, IF(G22=0,H22*I22))</f>
        <v>0</v>
      </c>
      <c r="M22" s="549">
        <f>L22*0.001</f>
        <v>0</v>
      </c>
      <c r="O22" s="361"/>
      <c r="P22" s="958"/>
      <c r="Q22" s="959"/>
      <c r="R22" s="959"/>
      <c r="S22" s="960"/>
      <c r="T22" s="546">
        <v>0</v>
      </c>
      <c r="U22" s="546">
        <v>0</v>
      </c>
      <c r="V22" s="547"/>
      <c r="W22" s="548"/>
      <c r="X22" s="323"/>
      <c r="Y22" s="549">
        <f t="shared" ref="Y22:Y40" si="0">IF(T22&gt;0,T22*V22, IF(T22=0,U22*V22))</f>
        <v>0</v>
      </c>
      <c r="Z22" s="549">
        <f t="shared" ref="Z22:Z40" si="1">Y22*0.001</f>
        <v>0</v>
      </c>
      <c r="AB22" s="361"/>
      <c r="AC22" s="958"/>
      <c r="AD22" s="959"/>
      <c r="AE22" s="959"/>
      <c r="AF22" s="960"/>
      <c r="AG22" s="546">
        <v>0</v>
      </c>
      <c r="AH22" s="546">
        <v>0</v>
      </c>
      <c r="AI22" s="547"/>
      <c r="AJ22" s="548"/>
      <c r="AK22" s="323"/>
      <c r="AL22" s="549">
        <f t="shared" ref="AL22:AL40" si="2">IF(AG22&gt;0,AG22*AI22, IF(AG22=0,AH22*AI22))</f>
        <v>0</v>
      </c>
      <c r="AM22" s="549">
        <f t="shared" ref="AM22:AM40" si="3">AL22*0.001</f>
        <v>0</v>
      </c>
    </row>
    <row r="23" spans="1:39">
      <c r="B23" s="361">
        <v>2</v>
      </c>
      <c r="C23" s="958" t="s">
        <v>1572</v>
      </c>
      <c r="D23" s="959"/>
      <c r="E23" s="959"/>
      <c r="F23" s="960"/>
      <c r="G23" s="546">
        <v>0</v>
      </c>
      <c r="H23" s="546">
        <v>59000</v>
      </c>
      <c r="I23" s="361"/>
      <c r="J23" s="548" t="s">
        <v>1579</v>
      </c>
      <c r="K23" s="323"/>
      <c r="L23" s="549">
        <f t="shared" ref="L23:L40" si="4">IF(G23&gt;0,G23*I23, IF(G23=0,H23*I23))</f>
        <v>0</v>
      </c>
      <c r="M23" s="549">
        <f t="shared" ref="M23:M40" si="5">L23*0.001</f>
        <v>0</v>
      </c>
      <c r="O23" s="361"/>
      <c r="P23" s="958"/>
      <c r="Q23" s="959"/>
      <c r="R23" s="959"/>
      <c r="S23" s="960"/>
      <c r="T23" s="546">
        <v>0</v>
      </c>
      <c r="U23" s="546">
        <v>0</v>
      </c>
      <c r="V23" s="361"/>
      <c r="W23" s="548"/>
      <c r="X23" s="323"/>
      <c r="Y23" s="549">
        <f t="shared" si="0"/>
        <v>0</v>
      </c>
      <c r="Z23" s="549">
        <f t="shared" si="1"/>
        <v>0</v>
      </c>
      <c r="AB23" s="361"/>
      <c r="AC23" s="958"/>
      <c r="AD23" s="959"/>
      <c r="AE23" s="959"/>
      <c r="AF23" s="960"/>
      <c r="AG23" s="546">
        <v>0</v>
      </c>
      <c r="AH23" s="546">
        <v>0</v>
      </c>
      <c r="AI23" s="361"/>
      <c r="AJ23" s="548"/>
      <c r="AK23" s="323"/>
      <c r="AL23" s="549">
        <f t="shared" si="2"/>
        <v>0</v>
      </c>
      <c r="AM23" s="549">
        <f t="shared" si="3"/>
        <v>0</v>
      </c>
    </row>
    <row r="24" spans="1:39">
      <c r="B24" s="361"/>
      <c r="C24" s="958"/>
      <c r="D24" s="959"/>
      <c r="E24" s="959"/>
      <c r="F24" s="960"/>
      <c r="G24" s="546">
        <v>0</v>
      </c>
      <c r="H24" s="546">
        <v>0</v>
      </c>
      <c r="I24" s="361"/>
      <c r="J24" s="548"/>
      <c r="K24" s="323"/>
      <c r="L24" s="549">
        <f t="shared" si="4"/>
        <v>0</v>
      </c>
      <c r="M24" s="549">
        <f t="shared" si="5"/>
        <v>0</v>
      </c>
      <c r="O24" s="361"/>
      <c r="P24" s="958"/>
      <c r="Q24" s="959"/>
      <c r="R24" s="959"/>
      <c r="S24" s="960"/>
      <c r="T24" s="546">
        <v>0</v>
      </c>
      <c r="U24" s="546">
        <v>0</v>
      </c>
      <c r="V24" s="361"/>
      <c r="W24" s="548"/>
      <c r="X24" s="323"/>
      <c r="Y24" s="549">
        <f t="shared" si="0"/>
        <v>0</v>
      </c>
      <c r="Z24" s="549">
        <f t="shared" si="1"/>
        <v>0</v>
      </c>
      <c r="AB24" s="361"/>
      <c r="AC24" s="958"/>
      <c r="AD24" s="959"/>
      <c r="AE24" s="959"/>
      <c r="AF24" s="960"/>
      <c r="AG24" s="546">
        <v>0</v>
      </c>
      <c r="AH24" s="546">
        <v>0</v>
      </c>
      <c r="AI24" s="361"/>
      <c r="AJ24" s="548"/>
      <c r="AK24" s="323"/>
      <c r="AL24" s="549">
        <f t="shared" si="2"/>
        <v>0</v>
      </c>
      <c r="AM24" s="549">
        <f t="shared" si="3"/>
        <v>0</v>
      </c>
    </row>
    <row r="25" spans="1:39">
      <c r="B25" s="361"/>
      <c r="C25" s="958"/>
      <c r="D25" s="959"/>
      <c r="E25" s="959"/>
      <c r="F25" s="960"/>
      <c r="G25" s="546">
        <v>0</v>
      </c>
      <c r="H25" s="546">
        <v>0</v>
      </c>
      <c r="I25" s="361"/>
      <c r="J25" s="548"/>
      <c r="K25" s="323"/>
      <c r="L25" s="549">
        <f t="shared" si="4"/>
        <v>0</v>
      </c>
      <c r="M25" s="549">
        <f t="shared" si="5"/>
        <v>0</v>
      </c>
      <c r="O25" s="361"/>
      <c r="P25" s="958"/>
      <c r="Q25" s="959"/>
      <c r="R25" s="959"/>
      <c r="S25" s="960"/>
      <c r="T25" s="546">
        <v>0</v>
      </c>
      <c r="U25" s="546">
        <v>0</v>
      </c>
      <c r="V25" s="361"/>
      <c r="W25" s="548"/>
      <c r="X25" s="323"/>
      <c r="Y25" s="549">
        <f t="shared" si="0"/>
        <v>0</v>
      </c>
      <c r="Z25" s="549">
        <f t="shared" si="1"/>
        <v>0</v>
      </c>
      <c r="AB25" s="361"/>
      <c r="AC25" s="958"/>
      <c r="AD25" s="959"/>
      <c r="AE25" s="959"/>
      <c r="AF25" s="960"/>
      <c r="AG25" s="546">
        <v>0</v>
      </c>
      <c r="AH25" s="546">
        <v>0</v>
      </c>
      <c r="AI25" s="361"/>
      <c r="AJ25" s="548"/>
      <c r="AK25" s="323"/>
      <c r="AL25" s="549">
        <f t="shared" si="2"/>
        <v>0</v>
      </c>
      <c r="AM25" s="549">
        <f t="shared" si="3"/>
        <v>0</v>
      </c>
    </row>
    <row r="26" spans="1:39">
      <c r="B26" s="361"/>
      <c r="C26" s="958"/>
      <c r="D26" s="959"/>
      <c r="E26" s="959"/>
      <c r="F26" s="960"/>
      <c r="G26" s="546">
        <v>0</v>
      </c>
      <c r="H26" s="546">
        <v>0</v>
      </c>
      <c r="I26" s="361"/>
      <c r="J26" s="548"/>
      <c r="K26" s="323"/>
      <c r="L26" s="549">
        <f t="shared" si="4"/>
        <v>0</v>
      </c>
      <c r="M26" s="549">
        <f t="shared" si="5"/>
        <v>0</v>
      </c>
      <c r="O26" s="361"/>
      <c r="P26" s="958"/>
      <c r="Q26" s="959"/>
      <c r="R26" s="959"/>
      <c r="S26" s="960"/>
      <c r="T26" s="546">
        <v>0</v>
      </c>
      <c r="U26" s="546">
        <v>0</v>
      </c>
      <c r="V26" s="361"/>
      <c r="W26" s="548"/>
      <c r="X26" s="323"/>
      <c r="Y26" s="549">
        <f t="shared" si="0"/>
        <v>0</v>
      </c>
      <c r="Z26" s="549">
        <f t="shared" si="1"/>
        <v>0</v>
      </c>
      <c r="AB26" s="361"/>
      <c r="AC26" s="958"/>
      <c r="AD26" s="959"/>
      <c r="AE26" s="959"/>
      <c r="AF26" s="960"/>
      <c r="AG26" s="546">
        <v>0</v>
      </c>
      <c r="AH26" s="546">
        <v>0</v>
      </c>
      <c r="AI26" s="361"/>
      <c r="AJ26" s="548"/>
      <c r="AK26" s="323"/>
      <c r="AL26" s="549">
        <f t="shared" si="2"/>
        <v>0</v>
      </c>
      <c r="AM26" s="549">
        <f t="shared" si="3"/>
        <v>0</v>
      </c>
    </row>
    <row r="27" spans="1:39">
      <c r="B27" s="361"/>
      <c r="C27" s="958"/>
      <c r="D27" s="959"/>
      <c r="E27" s="959"/>
      <c r="F27" s="960"/>
      <c r="G27" s="546">
        <v>0</v>
      </c>
      <c r="H27" s="546">
        <v>0</v>
      </c>
      <c r="I27" s="361"/>
      <c r="J27" s="548"/>
      <c r="K27" s="323"/>
      <c r="L27" s="549">
        <f t="shared" si="4"/>
        <v>0</v>
      </c>
      <c r="M27" s="549">
        <f t="shared" si="5"/>
        <v>0</v>
      </c>
      <c r="O27" s="361"/>
      <c r="P27" s="958"/>
      <c r="Q27" s="959"/>
      <c r="R27" s="959"/>
      <c r="S27" s="960"/>
      <c r="T27" s="546">
        <v>0</v>
      </c>
      <c r="U27" s="546">
        <v>0</v>
      </c>
      <c r="V27" s="361"/>
      <c r="W27" s="548"/>
      <c r="X27" s="323"/>
      <c r="Y27" s="549">
        <f t="shared" si="0"/>
        <v>0</v>
      </c>
      <c r="Z27" s="549">
        <f t="shared" si="1"/>
        <v>0</v>
      </c>
      <c r="AB27" s="361"/>
      <c r="AC27" s="958"/>
      <c r="AD27" s="959"/>
      <c r="AE27" s="959"/>
      <c r="AF27" s="960"/>
      <c r="AG27" s="546">
        <v>0</v>
      </c>
      <c r="AH27" s="546">
        <v>0</v>
      </c>
      <c r="AI27" s="361"/>
      <c r="AJ27" s="548"/>
      <c r="AK27" s="323"/>
      <c r="AL27" s="549">
        <f t="shared" si="2"/>
        <v>0</v>
      </c>
      <c r="AM27" s="549">
        <f t="shared" si="3"/>
        <v>0</v>
      </c>
    </row>
    <row r="28" spans="1:39">
      <c r="B28" s="361"/>
      <c r="C28" s="958"/>
      <c r="D28" s="959"/>
      <c r="E28" s="959"/>
      <c r="F28" s="960"/>
      <c r="G28" s="546">
        <v>0</v>
      </c>
      <c r="H28" s="546">
        <v>0</v>
      </c>
      <c r="I28" s="361"/>
      <c r="J28" s="548"/>
      <c r="K28" s="323"/>
      <c r="L28" s="549">
        <f t="shared" si="4"/>
        <v>0</v>
      </c>
      <c r="M28" s="549">
        <f t="shared" si="5"/>
        <v>0</v>
      </c>
      <c r="O28" s="361"/>
      <c r="P28" s="958"/>
      <c r="Q28" s="959"/>
      <c r="R28" s="959"/>
      <c r="S28" s="960"/>
      <c r="T28" s="546">
        <v>0</v>
      </c>
      <c r="U28" s="546">
        <v>0</v>
      </c>
      <c r="V28" s="361"/>
      <c r="W28" s="548"/>
      <c r="X28" s="323"/>
      <c r="Y28" s="549">
        <f t="shared" si="0"/>
        <v>0</v>
      </c>
      <c r="Z28" s="549">
        <f t="shared" si="1"/>
        <v>0</v>
      </c>
      <c r="AB28" s="361"/>
      <c r="AC28" s="958"/>
      <c r="AD28" s="959"/>
      <c r="AE28" s="959"/>
      <c r="AF28" s="960"/>
      <c r="AG28" s="546">
        <v>0</v>
      </c>
      <c r="AH28" s="546">
        <v>0</v>
      </c>
      <c r="AI28" s="361"/>
      <c r="AJ28" s="548"/>
      <c r="AK28" s="323"/>
      <c r="AL28" s="549">
        <f t="shared" si="2"/>
        <v>0</v>
      </c>
      <c r="AM28" s="549">
        <f t="shared" si="3"/>
        <v>0</v>
      </c>
    </row>
    <row r="29" spans="1:39">
      <c r="B29" s="361"/>
      <c r="C29" s="958"/>
      <c r="D29" s="959"/>
      <c r="E29" s="959"/>
      <c r="F29" s="960"/>
      <c r="G29" s="546">
        <v>0</v>
      </c>
      <c r="H29" s="546">
        <v>0</v>
      </c>
      <c r="I29" s="361"/>
      <c r="J29" s="548"/>
      <c r="K29" s="323"/>
      <c r="L29" s="549">
        <f t="shared" si="4"/>
        <v>0</v>
      </c>
      <c r="M29" s="549">
        <f t="shared" si="5"/>
        <v>0</v>
      </c>
      <c r="O29" s="361"/>
      <c r="P29" s="958"/>
      <c r="Q29" s="959"/>
      <c r="R29" s="959"/>
      <c r="S29" s="960"/>
      <c r="T29" s="546">
        <v>0</v>
      </c>
      <c r="U29" s="546">
        <v>0</v>
      </c>
      <c r="V29" s="361"/>
      <c r="W29" s="548"/>
      <c r="X29" s="323"/>
      <c r="Y29" s="549">
        <f t="shared" si="0"/>
        <v>0</v>
      </c>
      <c r="Z29" s="549">
        <f t="shared" si="1"/>
        <v>0</v>
      </c>
      <c r="AB29" s="361"/>
      <c r="AC29" s="958"/>
      <c r="AD29" s="959"/>
      <c r="AE29" s="959"/>
      <c r="AF29" s="960"/>
      <c r="AG29" s="546">
        <v>0</v>
      </c>
      <c r="AH29" s="546">
        <v>0</v>
      </c>
      <c r="AI29" s="361"/>
      <c r="AJ29" s="548"/>
      <c r="AK29" s="323"/>
      <c r="AL29" s="549">
        <f t="shared" si="2"/>
        <v>0</v>
      </c>
      <c r="AM29" s="549">
        <f t="shared" si="3"/>
        <v>0</v>
      </c>
    </row>
    <row r="30" spans="1:39">
      <c r="B30" s="361"/>
      <c r="C30" s="958"/>
      <c r="D30" s="959"/>
      <c r="E30" s="959"/>
      <c r="F30" s="960"/>
      <c r="G30" s="546">
        <v>0</v>
      </c>
      <c r="H30" s="546">
        <v>0</v>
      </c>
      <c r="I30" s="361"/>
      <c r="J30" s="548"/>
      <c r="K30" s="323"/>
      <c r="L30" s="549">
        <f t="shared" si="4"/>
        <v>0</v>
      </c>
      <c r="M30" s="549">
        <f t="shared" si="5"/>
        <v>0</v>
      </c>
      <c r="O30" s="361"/>
      <c r="P30" s="958"/>
      <c r="Q30" s="959"/>
      <c r="R30" s="959"/>
      <c r="S30" s="960"/>
      <c r="T30" s="546">
        <v>0</v>
      </c>
      <c r="U30" s="546">
        <v>0</v>
      </c>
      <c r="V30" s="361"/>
      <c r="W30" s="548"/>
      <c r="X30" s="323"/>
      <c r="Y30" s="549">
        <f t="shared" si="0"/>
        <v>0</v>
      </c>
      <c r="Z30" s="549">
        <f t="shared" si="1"/>
        <v>0</v>
      </c>
      <c r="AB30" s="361"/>
      <c r="AC30" s="958"/>
      <c r="AD30" s="959"/>
      <c r="AE30" s="959"/>
      <c r="AF30" s="960"/>
      <c r="AG30" s="546">
        <v>0</v>
      </c>
      <c r="AH30" s="546">
        <v>0</v>
      </c>
      <c r="AI30" s="361"/>
      <c r="AJ30" s="548"/>
      <c r="AK30" s="323"/>
      <c r="AL30" s="549">
        <f t="shared" si="2"/>
        <v>0</v>
      </c>
      <c r="AM30" s="549">
        <f t="shared" si="3"/>
        <v>0</v>
      </c>
    </row>
    <row r="31" spans="1:39">
      <c r="B31" s="361"/>
      <c r="C31" s="958"/>
      <c r="D31" s="959"/>
      <c r="E31" s="959"/>
      <c r="F31" s="960"/>
      <c r="G31" s="546">
        <v>0</v>
      </c>
      <c r="H31" s="546">
        <v>0</v>
      </c>
      <c r="I31" s="361"/>
      <c r="J31" s="548"/>
      <c r="K31" s="323"/>
      <c r="L31" s="549">
        <f t="shared" si="4"/>
        <v>0</v>
      </c>
      <c r="M31" s="549">
        <f t="shared" si="5"/>
        <v>0</v>
      </c>
      <c r="O31" s="361"/>
      <c r="P31" s="958"/>
      <c r="Q31" s="959"/>
      <c r="R31" s="959"/>
      <c r="S31" s="960"/>
      <c r="T31" s="546">
        <v>0</v>
      </c>
      <c r="U31" s="546">
        <v>0</v>
      </c>
      <c r="V31" s="361"/>
      <c r="W31" s="548"/>
      <c r="X31" s="323"/>
      <c r="Y31" s="549">
        <f t="shared" si="0"/>
        <v>0</v>
      </c>
      <c r="Z31" s="549">
        <f t="shared" si="1"/>
        <v>0</v>
      </c>
      <c r="AB31" s="361"/>
      <c r="AC31" s="958"/>
      <c r="AD31" s="959"/>
      <c r="AE31" s="959"/>
      <c r="AF31" s="960"/>
      <c r="AG31" s="546">
        <v>0</v>
      </c>
      <c r="AH31" s="546">
        <v>0</v>
      </c>
      <c r="AI31" s="361"/>
      <c r="AJ31" s="548"/>
      <c r="AK31" s="323"/>
      <c r="AL31" s="549">
        <f t="shared" si="2"/>
        <v>0</v>
      </c>
      <c r="AM31" s="549">
        <f t="shared" si="3"/>
        <v>0</v>
      </c>
    </row>
    <row r="32" spans="1:39">
      <c r="B32" s="361"/>
      <c r="C32" s="958"/>
      <c r="D32" s="959"/>
      <c r="E32" s="959"/>
      <c r="F32" s="960"/>
      <c r="G32" s="546">
        <v>0</v>
      </c>
      <c r="H32" s="546">
        <v>0</v>
      </c>
      <c r="I32" s="361"/>
      <c r="J32" s="548"/>
      <c r="K32" s="323"/>
      <c r="L32" s="549">
        <f t="shared" si="4"/>
        <v>0</v>
      </c>
      <c r="M32" s="549">
        <f t="shared" si="5"/>
        <v>0</v>
      </c>
      <c r="O32" s="361"/>
      <c r="P32" s="958"/>
      <c r="Q32" s="959"/>
      <c r="R32" s="959"/>
      <c r="S32" s="960"/>
      <c r="T32" s="546">
        <v>0</v>
      </c>
      <c r="U32" s="546">
        <v>0</v>
      </c>
      <c r="V32" s="361"/>
      <c r="W32" s="548"/>
      <c r="X32" s="323"/>
      <c r="Y32" s="549">
        <f t="shared" si="0"/>
        <v>0</v>
      </c>
      <c r="Z32" s="549">
        <f t="shared" si="1"/>
        <v>0</v>
      </c>
      <c r="AB32" s="361"/>
      <c r="AC32" s="958"/>
      <c r="AD32" s="959"/>
      <c r="AE32" s="959"/>
      <c r="AF32" s="960"/>
      <c r="AG32" s="546">
        <v>0</v>
      </c>
      <c r="AH32" s="546">
        <v>0</v>
      </c>
      <c r="AI32" s="361"/>
      <c r="AJ32" s="548"/>
      <c r="AK32" s="323"/>
      <c r="AL32" s="549">
        <f t="shared" si="2"/>
        <v>0</v>
      </c>
      <c r="AM32" s="549">
        <f t="shared" si="3"/>
        <v>0</v>
      </c>
    </row>
    <row r="33" spans="2:39">
      <c r="B33" s="361"/>
      <c r="C33" s="958"/>
      <c r="D33" s="959"/>
      <c r="E33" s="959"/>
      <c r="F33" s="960"/>
      <c r="G33" s="546">
        <v>0</v>
      </c>
      <c r="H33" s="546">
        <v>0</v>
      </c>
      <c r="I33" s="361"/>
      <c r="J33" s="548"/>
      <c r="K33" s="323"/>
      <c r="L33" s="549">
        <f t="shared" si="4"/>
        <v>0</v>
      </c>
      <c r="M33" s="549">
        <f t="shared" si="5"/>
        <v>0</v>
      </c>
      <c r="O33" s="361"/>
      <c r="P33" s="958"/>
      <c r="Q33" s="959"/>
      <c r="R33" s="959"/>
      <c r="S33" s="960"/>
      <c r="T33" s="546">
        <v>0</v>
      </c>
      <c r="U33" s="546">
        <v>0</v>
      </c>
      <c r="V33" s="361"/>
      <c r="W33" s="548"/>
      <c r="X33" s="323"/>
      <c r="Y33" s="549">
        <f t="shared" si="0"/>
        <v>0</v>
      </c>
      <c r="Z33" s="549">
        <f t="shared" si="1"/>
        <v>0</v>
      </c>
      <c r="AB33" s="361"/>
      <c r="AC33" s="958"/>
      <c r="AD33" s="959"/>
      <c r="AE33" s="959"/>
      <c r="AF33" s="960"/>
      <c r="AG33" s="546">
        <v>0</v>
      </c>
      <c r="AH33" s="546">
        <v>0</v>
      </c>
      <c r="AI33" s="361"/>
      <c r="AJ33" s="548"/>
      <c r="AK33" s="323"/>
      <c r="AL33" s="549">
        <f t="shared" si="2"/>
        <v>0</v>
      </c>
      <c r="AM33" s="549">
        <f t="shared" si="3"/>
        <v>0</v>
      </c>
    </row>
    <row r="34" spans="2:39">
      <c r="B34" s="361"/>
      <c r="C34" s="958"/>
      <c r="D34" s="959"/>
      <c r="E34" s="959"/>
      <c r="F34" s="960"/>
      <c r="G34" s="546">
        <v>0</v>
      </c>
      <c r="H34" s="546">
        <v>0</v>
      </c>
      <c r="I34" s="361"/>
      <c r="J34" s="548"/>
      <c r="K34" s="323"/>
      <c r="L34" s="549">
        <f t="shared" si="4"/>
        <v>0</v>
      </c>
      <c r="M34" s="549">
        <f t="shared" si="5"/>
        <v>0</v>
      </c>
      <c r="O34" s="361"/>
      <c r="P34" s="958"/>
      <c r="Q34" s="959"/>
      <c r="R34" s="959"/>
      <c r="S34" s="960"/>
      <c r="T34" s="546">
        <v>0</v>
      </c>
      <c r="U34" s="546">
        <v>0</v>
      </c>
      <c r="V34" s="361"/>
      <c r="W34" s="548"/>
      <c r="X34" s="323"/>
      <c r="Y34" s="549">
        <f t="shared" si="0"/>
        <v>0</v>
      </c>
      <c r="Z34" s="549">
        <f t="shared" si="1"/>
        <v>0</v>
      </c>
      <c r="AB34" s="361"/>
      <c r="AC34" s="958"/>
      <c r="AD34" s="959"/>
      <c r="AE34" s="959"/>
      <c r="AF34" s="960"/>
      <c r="AG34" s="546">
        <v>0</v>
      </c>
      <c r="AH34" s="546">
        <v>0</v>
      </c>
      <c r="AI34" s="361"/>
      <c r="AJ34" s="548"/>
      <c r="AK34" s="323"/>
      <c r="AL34" s="549">
        <f t="shared" si="2"/>
        <v>0</v>
      </c>
      <c r="AM34" s="549">
        <f t="shared" si="3"/>
        <v>0</v>
      </c>
    </row>
    <row r="35" spans="2:39">
      <c r="B35" s="361"/>
      <c r="C35" s="958"/>
      <c r="D35" s="959"/>
      <c r="E35" s="959"/>
      <c r="F35" s="960"/>
      <c r="G35" s="546">
        <v>0</v>
      </c>
      <c r="H35" s="546">
        <v>0</v>
      </c>
      <c r="I35" s="361"/>
      <c r="J35" s="548"/>
      <c r="K35" s="323"/>
      <c r="L35" s="549">
        <f t="shared" si="4"/>
        <v>0</v>
      </c>
      <c r="M35" s="549">
        <f t="shared" si="5"/>
        <v>0</v>
      </c>
      <c r="O35" s="361"/>
      <c r="P35" s="958"/>
      <c r="Q35" s="959"/>
      <c r="R35" s="959"/>
      <c r="S35" s="960"/>
      <c r="T35" s="546">
        <v>0</v>
      </c>
      <c r="U35" s="546">
        <v>0</v>
      </c>
      <c r="V35" s="361"/>
      <c r="W35" s="548"/>
      <c r="X35" s="323"/>
      <c r="Y35" s="549">
        <f t="shared" si="0"/>
        <v>0</v>
      </c>
      <c r="Z35" s="549">
        <f t="shared" si="1"/>
        <v>0</v>
      </c>
      <c r="AB35" s="361"/>
      <c r="AC35" s="958"/>
      <c r="AD35" s="959"/>
      <c r="AE35" s="959"/>
      <c r="AF35" s="960"/>
      <c r="AG35" s="546">
        <v>0</v>
      </c>
      <c r="AH35" s="546">
        <v>0</v>
      </c>
      <c r="AI35" s="361"/>
      <c r="AJ35" s="548"/>
      <c r="AK35" s="323"/>
      <c r="AL35" s="549">
        <f t="shared" si="2"/>
        <v>0</v>
      </c>
      <c r="AM35" s="549">
        <f t="shared" si="3"/>
        <v>0</v>
      </c>
    </row>
    <row r="36" spans="2:39">
      <c r="B36" s="361"/>
      <c r="C36" s="958"/>
      <c r="D36" s="959"/>
      <c r="E36" s="959"/>
      <c r="F36" s="960"/>
      <c r="G36" s="546">
        <v>0</v>
      </c>
      <c r="H36" s="546">
        <v>0</v>
      </c>
      <c r="I36" s="361"/>
      <c r="J36" s="548"/>
      <c r="K36" s="323"/>
      <c r="L36" s="549">
        <f t="shared" si="4"/>
        <v>0</v>
      </c>
      <c r="M36" s="549">
        <f t="shared" si="5"/>
        <v>0</v>
      </c>
      <c r="O36" s="361"/>
      <c r="P36" s="958"/>
      <c r="Q36" s="959"/>
      <c r="R36" s="959"/>
      <c r="S36" s="960"/>
      <c r="T36" s="546">
        <v>0</v>
      </c>
      <c r="U36" s="546">
        <v>0</v>
      </c>
      <c r="V36" s="361"/>
      <c r="W36" s="548"/>
      <c r="X36" s="323"/>
      <c r="Y36" s="549">
        <f t="shared" si="0"/>
        <v>0</v>
      </c>
      <c r="Z36" s="549">
        <f t="shared" si="1"/>
        <v>0</v>
      </c>
      <c r="AB36" s="361"/>
      <c r="AC36" s="958"/>
      <c r="AD36" s="959"/>
      <c r="AE36" s="959"/>
      <c r="AF36" s="960"/>
      <c r="AG36" s="546">
        <v>0</v>
      </c>
      <c r="AH36" s="546">
        <v>0</v>
      </c>
      <c r="AI36" s="361"/>
      <c r="AJ36" s="548"/>
      <c r="AK36" s="323"/>
      <c r="AL36" s="549">
        <f t="shared" si="2"/>
        <v>0</v>
      </c>
      <c r="AM36" s="549">
        <f t="shared" si="3"/>
        <v>0</v>
      </c>
    </row>
    <row r="37" spans="2:39">
      <c r="B37" s="361"/>
      <c r="C37" s="958"/>
      <c r="D37" s="959"/>
      <c r="E37" s="959"/>
      <c r="F37" s="960"/>
      <c r="G37" s="546">
        <v>0</v>
      </c>
      <c r="H37" s="546">
        <v>0</v>
      </c>
      <c r="I37" s="361"/>
      <c r="J37" s="548"/>
      <c r="K37" s="323"/>
      <c r="L37" s="549">
        <f t="shared" si="4"/>
        <v>0</v>
      </c>
      <c r="M37" s="549">
        <f t="shared" si="5"/>
        <v>0</v>
      </c>
      <c r="O37" s="361"/>
      <c r="P37" s="958"/>
      <c r="Q37" s="959"/>
      <c r="R37" s="959"/>
      <c r="S37" s="960"/>
      <c r="T37" s="546">
        <v>0</v>
      </c>
      <c r="U37" s="546">
        <v>0</v>
      </c>
      <c r="V37" s="361"/>
      <c r="W37" s="548"/>
      <c r="X37" s="323"/>
      <c r="Y37" s="549">
        <f t="shared" si="0"/>
        <v>0</v>
      </c>
      <c r="Z37" s="549">
        <f t="shared" si="1"/>
        <v>0</v>
      </c>
      <c r="AB37" s="361"/>
      <c r="AC37" s="958"/>
      <c r="AD37" s="959"/>
      <c r="AE37" s="959"/>
      <c r="AF37" s="960"/>
      <c r="AG37" s="546">
        <v>0</v>
      </c>
      <c r="AH37" s="546">
        <v>0</v>
      </c>
      <c r="AI37" s="361"/>
      <c r="AJ37" s="548"/>
      <c r="AK37" s="323"/>
      <c r="AL37" s="549">
        <f t="shared" si="2"/>
        <v>0</v>
      </c>
      <c r="AM37" s="549">
        <f t="shared" si="3"/>
        <v>0</v>
      </c>
    </row>
    <row r="38" spans="2:39">
      <c r="B38" s="361"/>
      <c r="C38" s="958"/>
      <c r="D38" s="959"/>
      <c r="E38" s="959"/>
      <c r="F38" s="960"/>
      <c r="G38" s="546">
        <v>0</v>
      </c>
      <c r="H38" s="546">
        <v>0</v>
      </c>
      <c r="I38" s="361"/>
      <c r="J38" s="548"/>
      <c r="K38" s="323"/>
      <c r="L38" s="549">
        <f t="shared" si="4"/>
        <v>0</v>
      </c>
      <c r="M38" s="549">
        <f t="shared" si="5"/>
        <v>0</v>
      </c>
      <c r="O38" s="361"/>
      <c r="P38" s="958"/>
      <c r="Q38" s="959"/>
      <c r="R38" s="959"/>
      <c r="S38" s="960"/>
      <c r="T38" s="546">
        <v>0</v>
      </c>
      <c r="U38" s="546">
        <v>0</v>
      </c>
      <c r="V38" s="361"/>
      <c r="W38" s="548"/>
      <c r="X38" s="323"/>
      <c r="Y38" s="549">
        <f t="shared" si="0"/>
        <v>0</v>
      </c>
      <c r="Z38" s="549">
        <f t="shared" si="1"/>
        <v>0</v>
      </c>
      <c r="AB38" s="361"/>
      <c r="AC38" s="958"/>
      <c r="AD38" s="959"/>
      <c r="AE38" s="959"/>
      <c r="AF38" s="960"/>
      <c r="AG38" s="546">
        <v>0</v>
      </c>
      <c r="AH38" s="546">
        <v>0</v>
      </c>
      <c r="AI38" s="361"/>
      <c r="AJ38" s="548"/>
      <c r="AK38" s="323"/>
      <c r="AL38" s="549">
        <f t="shared" si="2"/>
        <v>0</v>
      </c>
      <c r="AM38" s="549">
        <f t="shared" si="3"/>
        <v>0</v>
      </c>
    </row>
    <row r="39" spans="2:39">
      <c r="B39" s="361"/>
      <c r="C39" s="958"/>
      <c r="D39" s="959"/>
      <c r="E39" s="959"/>
      <c r="F39" s="960"/>
      <c r="G39" s="546">
        <v>0</v>
      </c>
      <c r="H39" s="546">
        <v>0</v>
      </c>
      <c r="I39" s="361"/>
      <c r="J39" s="548"/>
      <c r="K39" s="323"/>
      <c r="L39" s="549">
        <f t="shared" si="4"/>
        <v>0</v>
      </c>
      <c r="M39" s="549">
        <f t="shared" si="5"/>
        <v>0</v>
      </c>
      <c r="O39" s="361"/>
      <c r="P39" s="958"/>
      <c r="Q39" s="959"/>
      <c r="R39" s="959"/>
      <c r="S39" s="960"/>
      <c r="T39" s="546">
        <v>0</v>
      </c>
      <c r="U39" s="546">
        <v>0</v>
      </c>
      <c r="V39" s="361"/>
      <c r="W39" s="548"/>
      <c r="X39" s="323"/>
      <c r="Y39" s="549">
        <f t="shared" si="0"/>
        <v>0</v>
      </c>
      <c r="Z39" s="549">
        <f t="shared" si="1"/>
        <v>0</v>
      </c>
      <c r="AB39" s="361"/>
      <c r="AC39" s="958"/>
      <c r="AD39" s="959"/>
      <c r="AE39" s="959"/>
      <c r="AF39" s="960"/>
      <c r="AG39" s="546">
        <v>0</v>
      </c>
      <c r="AH39" s="546">
        <v>0</v>
      </c>
      <c r="AI39" s="361"/>
      <c r="AJ39" s="548"/>
      <c r="AK39" s="323"/>
      <c r="AL39" s="549">
        <f t="shared" si="2"/>
        <v>0</v>
      </c>
      <c r="AM39" s="549">
        <f t="shared" si="3"/>
        <v>0</v>
      </c>
    </row>
    <row r="40" spans="2:39" ht="15.5" thickBot="1">
      <c r="B40" s="529"/>
      <c r="C40" s="961"/>
      <c r="D40" s="962"/>
      <c r="E40" s="962"/>
      <c r="F40" s="963"/>
      <c r="G40" s="550">
        <v>0</v>
      </c>
      <c r="H40" s="550">
        <v>0</v>
      </c>
      <c r="I40" s="529"/>
      <c r="J40" s="551"/>
      <c r="K40" s="453"/>
      <c r="L40" s="552">
        <f t="shared" si="4"/>
        <v>0</v>
      </c>
      <c r="M40" s="552">
        <f t="shared" si="5"/>
        <v>0</v>
      </c>
      <c r="O40" s="529"/>
      <c r="P40" s="961"/>
      <c r="Q40" s="962"/>
      <c r="R40" s="962"/>
      <c r="S40" s="963"/>
      <c r="T40" s="550">
        <v>0</v>
      </c>
      <c r="U40" s="550">
        <v>0</v>
      </c>
      <c r="V40" s="529"/>
      <c r="W40" s="551"/>
      <c r="X40" s="453"/>
      <c r="Y40" s="552">
        <f t="shared" si="0"/>
        <v>0</v>
      </c>
      <c r="Z40" s="552">
        <f t="shared" si="1"/>
        <v>0</v>
      </c>
      <c r="AB40" s="529"/>
      <c r="AC40" s="961"/>
      <c r="AD40" s="962"/>
      <c r="AE40" s="962"/>
      <c r="AF40" s="963"/>
      <c r="AG40" s="550">
        <v>0</v>
      </c>
      <c r="AH40" s="550">
        <v>0</v>
      </c>
      <c r="AI40" s="529"/>
      <c r="AJ40" s="551"/>
      <c r="AK40" s="453"/>
      <c r="AL40" s="552">
        <f t="shared" si="2"/>
        <v>0</v>
      </c>
      <c r="AM40" s="552">
        <f t="shared" si="3"/>
        <v>0</v>
      </c>
    </row>
    <row r="41" spans="2:39" ht="16" thickTop="1" thickBot="1">
      <c r="B41" s="531"/>
      <c r="C41" s="532"/>
      <c r="D41" s="532"/>
      <c r="E41" s="532"/>
      <c r="F41" s="532"/>
      <c r="G41" s="532"/>
      <c r="H41" s="532"/>
      <c r="I41" s="532"/>
      <c r="J41" s="532"/>
      <c r="K41" s="533" t="s">
        <v>1592</v>
      </c>
      <c r="L41" s="534">
        <f>SUM(L22:L40)</f>
        <v>0</v>
      </c>
      <c r="M41" s="535">
        <f>SUM(M22:M40)</f>
        <v>0</v>
      </c>
      <c r="O41" s="531"/>
      <c r="P41" s="532"/>
      <c r="Q41" s="532"/>
      <c r="R41" s="532"/>
      <c r="S41" s="532"/>
      <c r="T41" s="532"/>
      <c r="U41" s="532"/>
      <c r="V41" s="532"/>
      <c r="W41" s="532"/>
      <c r="X41" s="533" t="s">
        <v>1592</v>
      </c>
      <c r="Y41" s="534">
        <f>SUM(Y22:Y40)</f>
        <v>0</v>
      </c>
      <c r="Z41" s="535">
        <f>SUM(Z22:Z40)</f>
        <v>0</v>
      </c>
      <c r="AB41" s="531"/>
      <c r="AC41" s="532"/>
      <c r="AD41" s="532"/>
      <c r="AE41" s="532"/>
      <c r="AF41" s="532"/>
      <c r="AG41" s="532"/>
      <c r="AH41" s="532"/>
      <c r="AI41" s="532"/>
      <c r="AJ41" s="532"/>
      <c r="AK41" s="533" t="s">
        <v>1592</v>
      </c>
      <c r="AL41" s="534">
        <f>SUM(AL22:AL40)</f>
        <v>0</v>
      </c>
      <c r="AM41" s="535">
        <f>SUM(AM22:AM40)</f>
        <v>0</v>
      </c>
    </row>
    <row r="42" spans="2:39" ht="15.5" thickTop="1"/>
    <row r="43" spans="2:39">
      <c r="B43" s="536"/>
      <c r="C43" s="537"/>
      <c r="D43" s="537"/>
      <c r="E43" s="537"/>
      <c r="F43" s="537"/>
      <c r="G43" s="537"/>
      <c r="H43" s="537"/>
      <c r="I43" s="537"/>
      <c r="J43" s="537"/>
      <c r="K43" s="538" t="s">
        <v>1575</v>
      </c>
      <c r="L43" s="539">
        <f>SUMIF(B22:B40,1,L22:L40)</f>
        <v>0</v>
      </c>
      <c r="M43" s="540">
        <f>L43*0.001</f>
        <v>0</v>
      </c>
      <c r="O43" s="536"/>
      <c r="P43" s="537"/>
      <c r="Q43" s="537"/>
      <c r="R43" s="537"/>
      <c r="S43" s="537"/>
      <c r="T43" s="537"/>
      <c r="U43" s="537"/>
      <c r="V43" s="537"/>
      <c r="W43" s="537"/>
      <c r="X43" s="538" t="s">
        <v>1575</v>
      </c>
      <c r="Y43" s="539">
        <f>SUMIF(O22:O40,1,Y22:Y40)</f>
        <v>0</v>
      </c>
      <c r="Z43" s="540">
        <f>Y43*0.001</f>
        <v>0</v>
      </c>
      <c r="AB43" s="536"/>
      <c r="AC43" s="537"/>
      <c r="AD43" s="537"/>
      <c r="AE43" s="537"/>
      <c r="AF43" s="537"/>
      <c r="AG43" s="537"/>
      <c r="AH43" s="537"/>
      <c r="AI43" s="537"/>
      <c r="AJ43" s="537"/>
      <c r="AK43" s="538" t="s">
        <v>1575</v>
      </c>
      <c r="AL43" s="539">
        <f>SUMIF(AB22:AB40,1,AL22:AL40)</f>
        <v>0</v>
      </c>
      <c r="AM43" s="540">
        <f>AL43*0.001</f>
        <v>0</v>
      </c>
    </row>
    <row r="44" spans="2:39">
      <c r="B44" s="536"/>
      <c r="C44" s="537"/>
      <c r="D44" s="537"/>
      <c r="E44" s="537"/>
      <c r="F44" s="537"/>
      <c r="G44" s="537"/>
      <c r="H44" s="537"/>
      <c r="I44" s="537"/>
      <c r="J44" s="537"/>
      <c r="K44" s="538" t="s">
        <v>1576</v>
      </c>
      <c r="L44" s="539">
        <f>SUMIF(B22:B40,2,L22:L40)</f>
        <v>0</v>
      </c>
      <c r="M44" s="540">
        <f t="shared" ref="M44:M45" si="6">L44*0.001</f>
        <v>0</v>
      </c>
      <c r="O44" s="536"/>
      <c r="P44" s="537"/>
      <c r="Q44" s="537"/>
      <c r="R44" s="537"/>
      <c r="S44" s="537"/>
      <c r="T44" s="537"/>
      <c r="U44" s="537"/>
      <c r="V44" s="537"/>
      <c r="W44" s="537"/>
      <c r="X44" s="538" t="s">
        <v>1576</v>
      </c>
      <c r="Y44" s="539">
        <f>SUMIF(O22:O40,2,Y22:Y40)</f>
        <v>0</v>
      </c>
      <c r="Z44" s="540">
        <f>Y44*0.001</f>
        <v>0</v>
      </c>
      <c r="AB44" s="536"/>
      <c r="AC44" s="537"/>
      <c r="AD44" s="537"/>
      <c r="AE44" s="537"/>
      <c r="AF44" s="537"/>
      <c r="AG44" s="537"/>
      <c r="AH44" s="537"/>
      <c r="AI44" s="537"/>
      <c r="AJ44" s="537"/>
      <c r="AK44" s="538" t="s">
        <v>1576</v>
      </c>
      <c r="AL44" s="539">
        <f>SUMIF(AB22:AB40,2,AL22:AL40)</f>
        <v>0</v>
      </c>
      <c r="AM44" s="540">
        <f>AL44*0.001</f>
        <v>0</v>
      </c>
    </row>
    <row r="45" spans="2:39">
      <c r="B45" s="536"/>
      <c r="C45" s="537"/>
      <c r="D45" s="537"/>
      <c r="E45" s="537"/>
      <c r="F45" s="537"/>
      <c r="G45" s="537"/>
      <c r="H45" s="537"/>
      <c r="I45" s="537"/>
      <c r="J45" s="537"/>
      <c r="K45" s="538" t="s">
        <v>1577</v>
      </c>
      <c r="L45" s="539">
        <f>SUMIF(B22:B40,3,L22:L40)</f>
        <v>0</v>
      </c>
      <c r="M45" s="540">
        <f t="shared" si="6"/>
        <v>0</v>
      </c>
      <c r="O45" s="536"/>
      <c r="P45" s="537"/>
      <c r="Q45" s="537"/>
      <c r="R45" s="537"/>
      <c r="S45" s="537"/>
      <c r="T45" s="537"/>
      <c r="U45" s="537"/>
      <c r="V45" s="537"/>
      <c r="W45" s="537"/>
      <c r="X45" s="538" t="s">
        <v>1577</v>
      </c>
      <c r="Y45" s="539">
        <f>SUMIF(O22:O40,3,Y22:Y40)</f>
        <v>0</v>
      </c>
      <c r="Z45" s="540">
        <f>Y45*0.001</f>
        <v>0</v>
      </c>
      <c r="AB45" s="536"/>
      <c r="AC45" s="537"/>
      <c r="AD45" s="537"/>
      <c r="AE45" s="537"/>
      <c r="AF45" s="537"/>
      <c r="AG45" s="537"/>
      <c r="AH45" s="537"/>
      <c r="AI45" s="537"/>
      <c r="AJ45" s="537"/>
      <c r="AK45" s="538" t="s">
        <v>1577</v>
      </c>
      <c r="AL45" s="539">
        <f>SUMIF(AB22:AB40,3,AL22:AL40)</f>
        <v>0</v>
      </c>
      <c r="AM45" s="540">
        <f>AL45*0.001</f>
        <v>0</v>
      </c>
    </row>
    <row r="56" spans="1:1" ht="14">
      <c r="A56" s="297"/>
    </row>
    <row r="57" spans="1:1" ht="14">
      <c r="A57" s="297"/>
    </row>
    <row r="58" spans="1:1" ht="14">
      <c r="A58" s="297"/>
    </row>
    <row r="59" spans="1:1" ht="14">
      <c r="A59" s="297"/>
    </row>
    <row r="76" spans="1:1" ht="14">
      <c r="A76" s="297"/>
    </row>
  </sheetData>
  <mergeCells count="75">
    <mergeCell ref="AC36:AF36"/>
    <mergeCell ref="AC37:AF37"/>
    <mergeCell ref="AC38:AF38"/>
    <mergeCell ref="AC39:AF39"/>
    <mergeCell ref="AC40:AF40"/>
    <mergeCell ref="AC31:AF31"/>
    <mergeCell ref="AC32:AF32"/>
    <mergeCell ref="AC33:AF33"/>
    <mergeCell ref="AC34:AF34"/>
    <mergeCell ref="AC35:AF35"/>
    <mergeCell ref="AC26:AF26"/>
    <mergeCell ref="AC27:AF27"/>
    <mergeCell ref="AC28:AF28"/>
    <mergeCell ref="AC29:AF29"/>
    <mergeCell ref="AC30:AF30"/>
    <mergeCell ref="AL20:AM20"/>
    <mergeCell ref="AC22:AF22"/>
    <mergeCell ref="AC23:AF23"/>
    <mergeCell ref="AC24:AF24"/>
    <mergeCell ref="AC25:AF25"/>
    <mergeCell ref="AB20:AB21"/>
    <mergeCell ref="AC20:AF21"/>
    <mergeCell ref="AI20:AI21"/>
    <mergeCell ref="AJ20:AJ21"/>
    <mergeCell ref="AK20:AK21"/>
    <mergeCell ref="P36:S36"/>
    <mergeCell ref="P37:S37"/>
    <mergeCell ref="P38:S38"/>
    <mergeCell ref="P39:S39"/>
    <mergeCell ref="P40:S40"/>
    <mergeCell ref="P31:S31"/>
    <mergeCell ref="P32:S32"/>
    <mergeCell ref="P33:S33"/>
    <mergeCell ref="P34:S34"/>
    <mergeCell ref="P35:S35"/>
    <mergeCell ref="P26:S26"/>
    <mergeCell ref="P27:S27"/>
    <mergeCell ref="P28:S28"/>
    <mergeCell ref="P29:S29"/>
    <mergeCell ref="P30:S30"/>
    <mergeCell ref="Y20:Z20"/>
    <mergeCell ref="P22:S22"/>
    <mergeCell ref="P23:S23"/>
    <mergeCell ref="P24:S24"/>
    <mergeCell ref="P25:S25"/>
    <mergeCell ref="O20:O21"/>
    <mergeCell ref="P20:S21"/>
    <mergeCell ref="V20:V21"/>
    <mergeCell ref="W20:W21"/>
    <mergeCell ref="X20:X21"/>
    <mergeCell ref="C31:F31"/>
    <mergeCell ref="C32:F32"/>
    <mergeCell ref="C33:F33"/>
    <mergeCell ref="C22:F22"/>
    <mergeCell ref="C23:F23"/>
    <mergeCell ref="C24:F24"/>
    <mergeCell ref="C25:F25"/>
    <mergeCell ref="C26:F26"/>
    <mergeCell ref="C27:F27"/>
    <mergeCell ref="L20:M20"/>
    <mergeCell ref="C40:F40"/>
    <mergeCell ref="B20:B21"/>
    <mergeCell ref="C20:F21"/>
    <mergeCell ref="I20:I21"/>
    <mergeCell ref="J20:J21"/>
    <mergeCell ref="K20:K21"/>
    <mergeCell ref="C34:F34"/>
    <mergeCell ref="C35:F35"/>
    <mergeCell ref="C36:F36"/>
    <mergeCell ref="C37:F37"/>
    <mergeCell ref="C38:F38"/>
    <mergeCell ref="C39:F39"/>
    <mergeCell ref="C28:F28"/>
    <mergeCell ref="C29:F29"/>
    <mergeCell ref="C30:F30"/>
  </mergeCells>
  <hyperlinks>
    <hyperlink ref="A2" location="Sisukord!A1" display="Sisukord"/>
    <hyperlink ref="B10" r:id="rId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Viited!$B$69:$B$71</xm:f>
          </x14:formula1>
          <xm:sqref>J22:J40 W22:W40 AJ22:AJ40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V73"/>
  <sheetViews>
    <sheetView showGridLines="0" zoomScale="90" zoomScaleNormal="90" workbookViewId="0">
      <pane xSplit="1" ySplit="1" topLeftCell="B41" activePane="bottomRight" state="frozen"/>
      <selection activeCell="B5" sqref="B5"/>
      <selection pane="topRight" activeCell="B5" sqref="B5"/>
      <selection pane="bottomLeft" activeCell="B5" sqref="B5"/>
      <selection pane="bottomRight" activeCell="B2" sqref="B2:P22"/>
    </sheetView>
  </sheetViews>
  <sheetFormatPr defaultColWidth="8.7265625" defaultRowHeight="15"/>
  <cols>
    <col min="1" max="1" width="7.1796875" style="302" customWidth="1"/>
    <col min="2" max="2" width="9.7265625" style="297" customWidth="1"/>
    <col min="3" max="3" width="9.54296875" style="297" customWidth="1"/>
    <col min="4" max="4" width="30.54296875" style="297" customWidth="1"/>
    <col min="5" max="5" width="18.453125" style="297" customWidth="1"/>
    <col min="6" max="13" width="16" style="297" customWidth="1"/>
    <col min="14" max="14" width="43.453125" style="297" customWidth="1"/>
    <col min="15" max="16" width="14" style="297" customWidth="1"/>
    <col min="17" max="17" width="8.7265625" style="297"/>
    <col min="18" max="18" width="9.7265625" style="297" customWidth="1"/>
    <col min="19" max="19" width="9.81640625" style="297" customWidth="1"/>
    <col min="20" max="20" width="30.54296875" style="297" customWidth="1"/>
    <col min="21" max="21" width="18.1796875" style="297" customWidth="1"/>
    <col min="22" max="29" width="16" style="297" customWidth="1"/>
    <col min="30" max="30" width="43.1796875" style="297" customWidth="1"/>
    <col min="31" max="32" width="14" style="297" customWidth="1"/>
    <col min="33" max="33" width="8.7265625" style="297"/>
    <col min="34" max="34" width="9.7265625" style="297" customWidth="1"/>
    <col min="35" max="35" width="9.81640625" style="297" customWidth="1"/>
    <col min="36" max="36" width="30.54296875" style="297" customWidth="1"/>
    <col min="37" max="37" width="18.1796875" style="297" customWidth="1"/>
    <col min="38" max="45" width="16" style="297" customWidth="1"/>
    <col min="46" max="46" width="43.1796875" style="297" customWidth="1"/>
    <col min="47" max="48" width="14" style="297" customWidth="1"/>
    <col min="49" max="16384" width="8.7265625" style="297"/>
  </cols>
  <sheetData>
    <row r="1" spans="1:16" ht="21" customHeight="1">
      <c r="A1" s="293"/>
      <c r="B1" s="291" t="s">
        <v>131</v>
      </c>
      <c r="C1" s="319"/>
    </row>
    <row r="2" spans="1:16" ht="14">
      <c r="A2" s="295" t="s">
        <v>1</v>
      </c>
      <c r="B2" s="516" t="s">
        <v>1803</v>
      </c>
      <c r="C2" s="517"/>
      <c r="D2" s="517"/>
      <c r="E2" s="517"/>
      <c r="F2" s="517"/>
      <c r="G2" s="517"/>
      <c r="H2" s="517"/>
      <c r="I2" s="517"/>
      <c r="J2" s="517"/>
      <c r="K2" s="517"/>
      <c r="L2" s="517"/>
      <c r="M2" s="517"/>
      <c r="N2" s="517"/>
      <c r="O2" s="517"/>
      <c r="P2" s="518"/>
    </row>
    <row r="3" spans="1:16" ht="14">
      <c r="A3" s="295"/>
      <c r="B3" s="519"/>
      <c r="P3" s="520"/>
    </row>
    <row r="4" spans="1:16" ht="14">
      <c r="A4" s="295"/>
      <c r="B4" s="519" t="s">
        <v>1434</v>
      </c>
      <c r="P4" s="520"/>
    </row>
    <row r="5" spans="1:16" ht="14">
      <c r="A5" s="295"/>
      <c r="B5" s="519" t="s">
        <v>1440</v>
      </c>
      <c r="P5" s="520"/>
    </row>
    <row r="6" spans="1:16" ht="14">
      <c r="A6" s="295"/>
      <c r="B6" s="519" t="s">
        <v>1441</v>
      </c>
      <c r="P6" s="520"/>
    </row>
    <row r="7" spans="1:16" ht="14">
      <c r="A7" s="295"/>
      <c r="B7" s="519" t="s">
        <v>2077</v>
      </c>
      <c r="P7" s="520"/>
    </row>
    <row r="8" spans="1:16" ht="14">
      <c r="A8" s="295"/>
      <c r="B8" s="519" t="s">
        <v>1442</v>
      </c>
      <c r="P8" s="520"/>
    </row>
    <row r="9" spans="1:16" ht="14">
      <c r="A9" s="295"/>
      <c r="B9" s="519" t="s">
        <v>2078</v>
      </c>
      <c r="P9" s="520"/>
    </row>
    <row r="10" spans="1:16" ht="14">
      <c r="A10" s="295"/>
      <c r="B10" s="519" t="s">
        <v>1805</v>
      </c>
      <c r="P10" s="520"/>
    </row>
    <row r="11" spans="1:16" ht="16">
      <c r="A11" s="295"/>
      <c r="B11" s="519" t="s">
        <v>2079</v>
      </c>
      <c r="P11" s="520"/>
    </row>
    <row r="12" spans="1:16" ht="14">
      <c r="A12" s="297"/>
      <c r="B12" s="519" t="s">
        <v>1437</v>
      </c>
      <c r="P12" s="520"/>
    </row>
    <row r="13" spans="1:16" ht="14">
      <c r="A13" s="295"/>
      <c r="B13" s="521" t="s">
        <v>1435</v>
      </c>
      <c r="P13" s="520"/>
    </row>
    <row r="14" spans="1:16" ht="14">
      <c r="A14" s="295"/>
      <c r="B14" s="519" t="s">
        <v>1438</v>
      </c>
      <c r="O14" s="522"/>
      <c r="P14" s="520"/>
    </row>
    <row r="15" spans="1:16" ht="16">
      <c r="A15" s="295"/>
      <c r="B15" s="519" t="s">
        <v>2080</v>
      </c>
      <c r="O15" s="522"/>
      <c r="P15" s="520"/>
    </row>
    <row r="16" spans="1:16" ht="16">
      <c r="A16" s="295"/>
      <c r="B16" s="519" t="s">
        <v>2081</v>
      </c>
      <c r="O16" s="522"/>
      <c r="P16" s="520"/>
    </row>
    <row r="17" spans="1:48" ht="14">
      <c r="A17" s="295"/>
      <c r="B17" s="519" t="s">
        <v>1443</v>
      </c>
      <c r="O17" s="522"/>
      <c r="P17" s="520"/>
    </row>
    <row r="18" spans="1:48" ht="14">
      <c r="A18" s="295"/>
      <c r="B18" s="519"/>
      <c r="O18" s="522"/>
      <c r="P18" s="520"/>
    </row>
    <row r="19" spans="1:48" ht="16">
      <c r="A19" s="295"/>
      <c r="B19" s="519" t="s">
        <v>2082</v>
      </c>
      <c r="O19" s="522"/>
      <c r="P19" s="520"/>
    </row>
    <row r="20" spans="1:48" ht="14">
      <c r="A20" s="295"/>
      <c r="B20" s="519" t="s">
        <v>1804</v>
      </c>
      <c r="O20" s="522"/>
      <c r="P20" s="520"/>
    </row>
    <row r="21" spans="1:48" ht="14">
      <c r="A21" s="295"/>
      <c r="B21" s="519"/>
      <c r="O21" s="522"/>
      <c r="P21" s="520"/>
    </row>
    <row r="22" spans="1:48" ht="14">
      <c r="A22" s="297"/>
      <c r="B22" s="523" t="s">
        <v>1746</v>
      </c>
      <c r="C22" s="524"/>
      <c r="D22" s="524"/>
      <c r="E22" s="524"/>
      <c r="F22" s="524"/>
      <c r="G22" s="524"/>
      <c r="H22" s="524"/>
      <c r="I22" s="524"/>
      <c r="J22" s="524"/>
      <c r="K22" s="524"/>
      <c r="L22" s="524"/>
      <c r="M22" s="524"/>
      <c r="N22" s="524"/>
      <c r="O22" s="524"/>
      <c r="P22" s="525"/>
    </row>
    <row r="23" spans="1:48" ht="14.5" thickBot="1">
      <c r="A23" s="297"/>
    </row>
    <row r="24" spans="1:48" thickTop="1" thickBot="1">
      <c r="A24" s="297"/>
      <c r="B24" s="502" t="s">
        <v>55</v>
      </c>
      <c r="C24" s="526">
        <f>Organisatsioon!B23</f>
        <v>2021</v>
      </c>
      <c r="R24" s="502" t="s">
        <v>55</v>
      </c>
      <c r="S24" s="526">
        <f>Organisatsioon!B24</f>
        <v>2022</v>
      </c>
      <c r="AH24" s="502" t="s">
        <v>55</v>
      </c>
      <c r="AI24" s="526">
        <f>Organisatsioon!B25</f>
        <v>2023</v>
      </c>
    </row>
    <row r="25" spans="1:48" ht="14.5" thickTop="1">
      <c r="A25" s="297"/>
    </row>
    <row r="26" spans="1:48" ht="14">
      <c r="A26" s="297"/>
      <c r="B26" s="503" t="s">
        <v>132</v>
      </c>
      <c r="C26" s="503"/>
      <c r="D26" s="503"/>
      <c r="E26" s="503"/>
      <c r="F26" s="503"/>
      <c r="G26" s="503"/>
      <c r="H26" s="503"/>
      <c r="I26" s="503"/>
      <c r="J26" s="503"/>
      <c r="K26" s="503"/>
      <c r="L26" s="503"/>
      <c r="M26" s="503"/>
      <c r="N26" s="503"/>
      <c r="O26" s="503"/>
      <c r="P26" s="503"/>
      <c r="R26" s="503" t="s">
        <v>132</v>
      </c>
      <c r="S26" s="503"/>
      <c r="T26" s="503"/>
      <c r="U26" s="503"/>
      <c r="V26" s="503"/>
      <c r="W26" s="503"/>
      <c r="X26" s="503"/>
      <c r="Y26" s="503"/>
      <c r="Z26" s="503"/>
      <c r="AA26" s="503"/>
      <c r="AB26" s="503"/>
      <c r="AC26" s="503"/>
      <c r="AD26" s="503"/>
      <c r="AE26" s="503"/>
      <c r="AF26" s="503"/>
      <c r="AH26" s="503" t="s">
        <v>132</v>
      </c>
      <c r="AI26" s="503"/>
      <c r="AJ26" s="503"/>
      <c r="AK26" s="503"/>
      <c r="AL26" s="503"/>
      <c r="AM26" s="503"/>
      <c r="AN26" s="503"/>
      <c r="AO26" s="503"/>
      <c r="AP26" s="503"/>
      <c r="AQ26" s="503"/>
      <c r="AR26" s="503"/>
      <c r="AS26" s="503"/>
      <c r="AT26" s="503"/>
      <c r="AU26" s="503"/>
      <c r="AV26" s="503"/>
    </row>
    <row r="27" spans="1:48" ht="43.4" customHeight="1">
      <c r="B27" s="925" t="s">
        <v>57</v>
      </c>
      <c r="C27" s="916" t="s">
        <v>139</v>
      </c>
      <c r="D27" s="917"/>
      <c r="E27" s="914" t="s">
        <v>1452</v>
      </c>
      <c r="F27" s="914" t="s">
        <v>1451</v>
      </c>
      <c r="G27" s="914" t="s">
        <v>1453</v>
      </c>
      <c r="H27" s="914" t="s">
        <v>1454</v>
      </c>
      <c r="I27" s="914" t="s">
        <v>1455</v>
      </c>
      <c r="J27" s="914" t="s">
        <v>1456</v>
      </c>
      <c r="K27" s="914" t="s">
        <v>1457</v>
      </c>
      <c r="L27" s="914" t="s">
        <v>1458</v>
      </c>
      <c r="M27" s="925" t="s">
        <v>126</v>
      </c>
      <c r="N27" s="925" t="s">
        <v>127</v>
      </c>
      <c r="O27" s="916" t="s">
        <v>72</v>
      </c>
      <c r="P27" s="917"/>
      <c r="R27" s="925" t="s">
        <v>57</v>
      </c>
      <c r="S27" s="916" t="s">
        <v>139</v>
      </c>
      <c r="T27" s="917"/>
      <c r="U27" s="914" t="s">
        <v>1452</v>
      </c>
      <c r="V27" s="914" t="s">
        <v>1451</v>
      </c>
      <c r="W27" s="914" t="s">
        <v>1453</v>
      </c>
      <c r="X27" s="914" t="s">
        <v>1454</v>
      </c>
      <c r="Y27" s="914" t="s">
        <v>1455</v>
      </c>
      <c r="Z27" s="914" t="s">
        <v>1456</v>
      </c>
      <c r="AA27" s="914" t="s">
        <v>1457</v>
      </c>
      <c r="AB27" s="914" t="s">
        <v>1458</v>
      </c>
      <c r="AC27" s="925" t="s">
        <v>126</v>
      </c>
      <c r="AD27" s="925" t="s">
        <v>127</v>
      </c>
      <c r="AE27" s="916" t="s">
        <v>72</v>
      </c>
      <c r="AF27" s="917"/>
      <c r="AH27" s="925" t="s">
        <v>57</v>
      </c>
      <c r="AI27" s="916" t="s">
        <v>139</v>
      </c>
      <c r="AJ27" s="917"/>
      <c r="AK27" s="914" t="s">
        <v>1452</v>
      </c>
      <c r="AL27" s="914" t="s">
        <v>1451</v>
      </c>
      <c r="AM27" s="914" t="s">
        <v>1453</v>
      </c>
      <c r="AN27" s="914" t="s">
        <v>1454</v>
      </c>
      <c r="AO27" s="914" t="s">
        <v>1455</v>
      </c>
      <c r="AP27" s="914" t="s">
        <v>1456</v>
      </c>
      <c r="AQ27" s="914" t="s">
        <v>1457</v>
      </c>
      <c r="AR27" s="914" t="s">
        <v>1458</v>
      </c>
      <c r="AS27" s="925" t="s">
        <v>126</v>
      </c>
      <c r="AT27" s="925" t="s">
        <v>127</v>
      </c>
      <c r="AU27" s="916" t="s">
        <v>72</v>
      </c>
      <c r="AV27" s="917"/>
    </row>
    <row r="28" spans="1:48">
      <c r="B28" s="926"/>
      <c r="C28" s="918"/>
      <c r="D28" s="919"/>
      <c r="E28" s="915"/>
      <c r="F28" s="915"/>
      <c r="G28" s="915"/>
      <c r="H28" s="915"/>
      <c r="I28" s="915"/>
      <c r="J28" s="915"/>
      <c r="K28" s="915"/>
      <c r="L28" s="915"/>
      <c r="M28" s="926"/>
      <c r="N28" s="926"/>
      <c r="O28" s="918"/>
      <c r="P28" s="919"/>
      <c r="R28" s="926"/>
      <c r="S28" s="918"/>
      <c r="T28" s="919"/>
      <c r="U28" s="915"/>
      <c r="V28" s="915"/>
      <c r="W28" s="915"/>
      <c r="X28" s="915"/>
      <c r="Y28" s="915"/>
      <c r="Z28" s="915"/>
      <c r="AA28" s="915"/>
      <c r="AB28" s="915"/>
      <c r="AC28" s="926"/>
      <c r="AD28" s="926"/>
      <c r="AE28" s="918"/>
      <c r="AF28" s="919"/>
      <c r="AH28" s="926"/>
      <c r="AI28" s="918"/>
      <c r="AJ28" s="919"/>
      <c r="AK28" s="915"/>
      <c r="AL28" s="915"/>
      <c r="AM28" s="915"/>
      <c r="AN28" s="915"/>
      <c r="AO28" s="915"/>
      <c r="AP28" s="915"/>
      <c r="AQ28" s="915"/>
      <c r="AR28" s="915"/>
      <c r="AS28" s="926"/>
      <c r="AT28" s="926"/>
      <c r="AU28" s="918"/>
      <c r="AV28" s="919"/>
    </row>
    <row r="29" spans="1:48">
      <c r="B29" s="926"/>
      <c r="C29" s="918"/>
      <c r="D29" s="919"/>
      <c r="E29" s="915"/>
      <c r="F29" s="922"/>
      <c r="G29" s="922"/>
      <c r="H29" s="922"/>
      <c r="I29" s="922"/>
      <c r="J29" s="922"/>
      <c r="K29" s="922"/>
      <c r="L29" s="922"/>
      <c r="M29" s="927"/>
      <c r="N29" s="926"/>
      <c r="O29" s="920"/>
      <c r="P29" s="921"/>
      <c r="R29" s="926"/>
      <c r="S29" s="918"/>
      <c r="T29" s="919"/>
      <c r="U29" s="915"/>
      <c r="V29" s="922"/>
      <c r="W29" s="922"/>
      <c r="X29" s="922"/>
      <c r="Y29" s="922"/>
      <c r="Z29" s="922"/>
      <c r="AA29" s="922"/>
      <c r="AB29" s="922"/>
      <c r="AC29" s="927"/>
      <c r="AD29" s="926"/>
      <c r="AE29" s="920"/>
      <c r="AF29" s="921"/>
      <c r="AH29" s="926"/>
      <c r="AI29" s="918"/>
      <c r="AJ29" s="919"/>
      <c r="AK29" s="915"/>
      <c r="AL29" s="922"/>
      <c r="AM29" s="922"/>
      <c r="AN29" s="922"/>
      <c r="AO29" s="922"/>
      <c r="AP29" s="922"/>
      <c r="AQ29" s="922"/>
      <c r="AR29" s="922"/>
      <c r="AS29" s="927"/>
      <c r="AT29" s="926"/>
      <c r="AU29" s="920"/>
      <c r="AV29" s="921"/>
    </row>
    <row r="30" spans="1:48" ht="16">
      <c r="B30" s="927"/>
      <c r="C30" s="920"/>
      <c r="D30" s="921"/>
      <c r="E30" s="922"/>
      <c r="F30" s="527" t="s">
        <v>179</v>
      </c>
      <c r="G30" s="527" t="s">
        <v>128</v>
      </c>
      <c r="H30" s="527" t="s">
        <v>128</v>
      </c>
      <c r="I30" s="527" t="s">
        <v>128</v>
      </c>
      <c r="J30" s="527" t="s">
        <v>179</v>
      </c>
      <c r="K30" s="527" t="s">
        <v>2083</v>
      </c>
      <c r="L30" s="527" t="s">
        <v>1459</v>
      </c>
      <c r="M30" s="527" t="s">
        <v>2084</v>
      </c>
      <c r="N30" s="927"/>
      <c r="O30" s="527" t="s">
        <v>2085</v>
      </c>
      <c r="P30" s="527" t="s">
        <v>2086</v>
      </c>
      <c r="R30" s="927"/>
      <c r="S30" s="920"/>
      <c r="T30" s="921"/>
      <c r="U30" s="922"/>
      <c r="V30" s="527" t="s">
        <v>179</v>
      </c>
      <c r="W30" s="527" t="s">
        <v>128</v>
      </c>
      <c r="X30" s="527" t="s">
        <v>128</v>
      </c>
      <c r="Y30" s="527" t="s">
        <v>128</v>
      </c>
      <c r="Z30" s="527" t="s">
        <v>179</v>
      </c>
      <c r="AA30" s="527" t="s">
        <v>2083</v>
      </c>
      <c r="AB30" s="527" t="s">
        <v>1459</v>
      </c>
      <c r="AC30" s="527" t="s">
        <v>2084</v>
      </c>
      <c r="AD30" s="927"/>
      <c r="AE30" s="527" t="s">
        <v>2085</v>
      </c>
      <c r="AF30" s="527" t="s">
        <v>2086</v>
      </c>
      <c r="AH30" s="927"/>
      <c r="AI30" s="920"/>
      <c r="AJ30" s="921"/>
      <c r="AK30" s="922"/>
      <c r="AL30" s="527" t="s">
        <v>179</v>
      </c>
      <c r="AM30" s="527" t="s">
        <v>128</v>
      </c>
      <c r="AN30" s="527" t="s">
        <v>128</v>
      </c>
      <c r="AO30" s="527" t="s">
        <v>128</v>
      </c>
      <c r="AP30" s="527" t="s">
        <v>179</v>
      </c>
      <c r="AQ30" s="527" t="s">
        <v>2083</v>
      </c>
      <c r="AR30" s="527" t="s">
        <v>1459</v>
      </c>
      <c r="AS30" s="527" t="s">
        <v>2084</v>
      </c>
      <c r="AT30" s="927"/>
      <c r="AU30" s="527" t="s">
        <v>2085</v>
      </c>
      <c r="AV30" s="527" t="s">
        <v>2086</v>
      </c>
    </row>
    <row r="31" spans="1:48">
      <c r="B31" s="361">
        <v>1</v>
      </c>
      <c r="C31" s="964"/>
      <c r="D31" s="965"/>
      <c r="E31" s="323"/>
      <c r="F31" s="323"/>
      <c r="G31" s="323"/>
      <c r="H31" s="323"/>
      <c r="I31" s="323"/>
      <c r="J31" s="323"/>
      <c r="K31" s="323"/>
      <c r="L31" s="323"/>
      <c r="M31" s="323"/>
      <c r="N31" s="323"/>
      <c r="O31" s="528"/>
      <c r="P31" s="528"/>
      <c r="R31" s="361"/>
      <c r="S31" s="964"/>
      <c r="T31" s="965"/>
      <c r="U31" s="323"/>
      <c r="V31" s="323"/>
      <c r="W31" s="323"/>
      <c r="X31" s="323"/>
      <c r="Y31" s="323"/>
      <c r="Z31" s="323"/>
      <c r="AA31" s="323"/>
      <c r="AB31" s="323"/>
      <c r="AC31" s="323"/>
      <c r="AD31" s="323"/>
      <c r="AE31" s="528"/>
      <c r="AF31" s="528"/>
      <c r="AH31" s="361"/>
      <c r="AI31" s="964"/>
      <c r="AJ31" s="965"/>
      <c r="AK31" s="323"/>
      <c r="AL31" s="323"/>
      <c r="AM31" s="323"/>
      <c r="AN31" s="323"/>
      <c r="AO31" s="323"/>
      <c r="AP31" s="323"/>
      <c r="AQ31" s="323"/>
      <c r="AR31" s="323"/>
      <c r="AS31" s="323"/>
      <c r="AT31" s="323"/>
      <c r="AU31" s="528"/>
      <c r="AV31" s="528"/>
    </row>
    <row r="32" spans="1:48">
      <c r="B32" s="361">
        <v>1</v>
      </c>
      <c r="C32" s="964"/>
      <c r="D32" s="965"/>
      <c r="E32" s="323"/>
      <c r="F32" s="323"/>
      <c r="G32" s="323"/>
      <c r="H32" s="323"/>
      <c r="I32" s="323"/>
      <c r="J32" s="323"/>
      <c r="K32" s="323"/>
      <c r="L32" s="323"/>
      <c r="M32" s="323"/>
      <c r="N32" s="323"/>
      <c r="O32" s="528"/>
      <c r="P32" s="528"/>
      <c r="R32" s="361"/>
      <c r="S32" s="964"/>
      <c r="T32" s="965"/>
      <c r="U32" s="323"/>
      <c r="V32" s="323"/>
      <c r="W32" s="323"/>
      <c r="X32" s="323"/>
      <c r="Y32" s="323"/>
      <c r="Z32" s="323"/>
      <c r="AA32" s="323"/>
      <c r="AB32" s="323"/>
      <c r="AC32" s="323"/>
      <c r="AD32" s="323"/>
      <c r="AE32" s="528"/>
      <c r="AF32" s="528"/>
      <c r="AH32" s="361"/>
      <c r="AI32" s="964"/>
      <c r="AJ32" s="965"/>
      <c r="AK32" s="323"/>
      <c r="AL32" s="323"/>
      <c r="AM32" s="323"/>
      <c r="AN32" s="323"/>
      <c r="AO32" s="323"/>
      <c r="AP32" s="323"/>
      <c r="AQ32" s="323"/>
      <c r="AR32" s="323"/>
      <c r="AS32" s="323"/>
      <c r="AT32" s="323"/>
      <c r="AU32" s="528"/>
      <c r="AV32" s="528"/>
    </row>
    <row r="33" spans="1:48">
      <c r="B33" s="361">
        <v>1</v>
      </c>
      <c r="C33" s="964"/>
      <c r="D33" s="965"/>
      <c r="E33" s="323"/>
      <c r="F33" s="323"/>
      <c r="G33" s="323"/>
      <c r="H33" s="323"/>
      <c r="I33" s="323"/>
      <c r="J33" s="323"/>
      <c r="K33" s="323"/>
      <c r="L33" s="323"/>
      <c r="M33" s="323"/>
      <c r="N33" s="323"/>
      <c r="O33" s="528"/>
      <c r="P33" s="528"/>
      <c r="R33" s="361"/>
      <c r="S33" s="964"/>
      <c r="T33" s="965"/>
      <c r="U33" s="323"/>
      <c r="V33" s="323"/>
      <c r="W33" s="323"/>
      <c r="X33" s="323"/>
      <c r="Y33" s="323"/>
      <c r="Z33" s="323"/>
      <c r="AA33" s="323"/>
      <c r="AB33" s="323"/>
      <c r="AC33" s="323"/>
      <c r="AD33" s="323"/>
      <c r="AE33" s="528"/>
      <c r="AF33" s="528"/>
      <c r="AH33" s="361"/>
      <c r="AI33" s="964"/>
      <c r="AJ33" s="965"/>
      <c r="AK33" s="323"/>
      <c r="AL33" s="323"/>
      <c r="AM33" s="323"/>
      <c r="AN33" s="323"/>
      <c r="AO33" s="323"/>
      <c r="AP33" s="323"/>
      <c r="AQ33" s="323"/>
      <c r="AR33" s="323"/>
      <c r="AS33" s="323"/>
      <c r="AT33" s="323"/>
      <c r="AU33" s="528"/>
      <c r="AV33" s="528"/>
    </row>
    <row r="34" spans="1:48">
      <c r="B34" s="361">
        <v>2</v>
      </c>
      <c r="C34" s="964"/>
      <c r="D34" s="965"/>
      <c r="E34" s="323"/>
      <c r="F34" s="323"/>
      <c r="G34" s="323"/>
      <c r="H34" s="323"/>
      <c r="I34" s="323"/>
      <c r="J34" s="323"/>
      <c r="K34" s="323"/>
      <c r="L34" s="323"/>
      <c r="M34" s="323"/>
      <c r="N34" s="323"/>
      <c r="O34" s="528"/>
      <c r="P34" s="528"/>
      <c r="R34" s="361"/>
      <c r="S34" s="964"/>
      <c r="T34" s="965"/>
      <c r="U34" s="323"/>
      <c r="V34" s="323"/>
      <c r="W34" s="323"/>
      <c r="X34" s="323"/>
      <c r="Y34" s="323"/>
      <c r="Z34" s="323"/>
      <c r="AA34" s="323"/>
      <c r="AB34" s="323"/>
      <c r="AC34" s="323"/>
      <c r="AD34" s="323"/>
      <c r="AE34" s="528"/>
      <c r="AF34" s="528"/>
      <c r="AH34" s="361"/>
      <c r="AI34" s="964"/>
      <c r="AJ34" s="965"/>
      <c r="AK34" s="323"/>
      <c r="AL34" s="323"/>
      <c r="AM34" s="323"/>
      <c r="AN34" s="323"/>
      <c r="AO34" s="323"/>
      <c r="AP34" s="323"/>
      <c r="AQ34" s="323"/>
      <c r="AR34" s="323"/>
      <c r="AS34" s="323"/>
      <c r="AT34" s="323"/>
      <c r="AU34" s="528"/>
      <c r="AV34" s="528"/>
    </row>
    <row r="35" spans="1:48">
      <c r="B35" s="361">
        <v>2</v>
      </c>
      <c r="C35" s="964"/>
      <c r="D35" s="965"/>
      <c r="E35" s="323"/>
      <c r="F35" s="323"/>
      <c r="G35" s="323"/>
      <c r="H35" s="323"/>
      <c r="I35" s="323"/>
      <c r="J35" s="323"/>
      <c r="K35" s="323"/>
      <c r="L35" s="323"/>
      <c r="M35" s="323"/>
      <c r="N35" s="323"/>
      <c r="O35" s="528"/>
      <c r="P35" s="528"/>
      <c r="R35" s="361"/>
      <c r="S35" s="964"/>
      <c r="T35" s="965"/>
      <c r="U35" s="323"/>
      <c r="V35" s="323"/>
      <c r="W35" s="323"/>
      <c r="X35" s="323"/>
      <c r="Y35" s="323"/>
      <c r="Z35" s="323"/>
      <c r="AA35" s="323"/>
      <c r="AB35" s="323"/>
      <c r="AC35" s="323"/>
      <c r="AD35" s="323"/>
      <c r="AE35" s="528"/>
      <c r="AF35" s="528"/>
      <c r="AH35" s="361"/>
      <c r="AI35" s="964"/>
      <c r="AJ35" s="965"/>
      <c r="AK35" s="323"/>
      <c r="AL35" s="323"/>
      <c r="AM35" s="323"/>
      <c r="AN35" s="323"/>
      <c r="AO35" s="323"/>
      <c r="AP35" s="323"/>
      <c r="AQ35" s="323"/>
      <c r="AR35" s="323"/>
      <c r="AS35" s="323"/>
      <c r="AT35" s="323"/>
      <c r="AU35" s="528"/>
      <c r="AV35" s="528"/>
    </row>
    <row r="36" spans="1:48">
      <c r="B36" s="361"/>
      <c r="C36" s="964"/>
      <c r="D36" s="965"/>
      <c r="E36" s="323"/>
      <c r="F36" s="323"/>
      <c r="G36" s="323"/>
      <c r="H36" s="323"/>
      <c r="I36" s="323"/>
      <c r="J36" s="323"/>
      <c r="K36" s="323"/>
      <c r="L36" s="323"/>
      <c r="M36" s="323"/>
      <c r="N36" s="323"/>
      <c r="O36" s="528"/>
      <c r="P36" s="528"/>
      <c r="R36" s="361"/>
      <c r="S36" s="964"/>
      <c r="T36" s="965"/>
      <c r="U36" s="323"/>
      <c r="V36" s="323"/>
      <c r="W36" s="323"/>
      <c r="X36" s="323"/>
      <c r="Y36" s="323"/>
      <c r="Z36" s="323"/>
      <c r="AA36" s="323"/>
      <c r="AB36" s="323"/>
      <c r="AC36" s="323"/>
      <c r="AD36" s="323"/>
      <c r="AE36" s="528"/>
      <c r="AF36" s="528"/>
      <c r="AH36" s="361"/>
      <c r="AI36" s="964"/>
      <c r="AJ36" s="965"/>
      <c r="AK36" s="323"/>
      <c r="AL36" s="323"/>
      <c r="AM36" s="323"/>
      <c r="AN36" s="323"/>
      <c r="AO36" s="323"/>
      <c r="AP36" s="323"/>
      <c r="AQ36" s="323"/>
      <c r="AR36" s="323"/>
      <c r="AS36" s="323"/>
      <c r="AT36" s="323"/>
      <c r="AU36" s="528"/>
      <c r="AV36" s="528"/>
    </row>
    <row r="37" spans="1:48">
      <c r="B37" s="361"/>
      <c r="C37" s="964"/>
      <c r="D37" s="965"/>
      <c r="E37" s="323"/>
      <c r="F37" s="323"/>
      <c r="G37" s="323"/>
      <c r="H37" s="323"/>
      <c r="I37" s="323"/>
      <c r="J37" s="323"/>
      <c r="K37" s="323"/>
      <c r="L37" s="323"/>
      <c r="M37" s="323"/>
      <c r="N37" s="323"/>
      <c r="O37" s="528"/>
      <c r="P37" s="528"/>
      <c r="R37" s="361"/>
      <c r="S37" s="964"/>
      <c r="T37" s="965"/>
      <c r="U37" s="323"/>
      <c r="V37" s="323"/>
      <c r="W37" s="323"/>
      <c r="X37" s="323"/>
      <c r="Y37" s="323"/>
      <c r="Z37" s="323"/>
      <c r="AA37" s="323"/>
      <c r="AB37" s="323"/>
      <c r="AC37" s="323"/>
      <c r="AD37" s="323"/>
      <c r="AE37" s="528"/>
      <c r="AF37" s="528"/>
      <c r="AH37" s="361"/>
      <c r="AI37" s="964"/>
      <c r="AJ37" s="965"/>
      <c r="AK37" s="323"/>
      <c r="AL37" s="323"/>
      <c r="AM37" s="323"/>
      <c r="AN37" s="323"/>
      <c r="AO37" s="323"/>
      <c r="AP37" s="323"/>
      <c r="AQ37" s="323"/>
      <c r="AR37" s="323"/>
      <c r="AS37" s="323"/>
      <c r="AT37" s="323"/>
      <c r="AU37" s="528"/>
      <c r="AV37" s="528"/>
    </row>
    <row r="38" spans="1:48" ht="14">
      <c r="A38" s="297"/>
      <c r="B38" s="361"/>
      <c r="C38" s="964"/>
      <c r="D38" s="965"/>
      <c r="E38" s="323"/>
      <c r="F38" s="323"/>
      <c r="G38" s="323"/>
      <c r="H38" s="323"/>
      <c r="I38" s="323"/>
      <c r="J38" s="323"/>
      <c r="K38" s="323"/>
      <c r="L38" s="323"/>
      <c r="M38" s="323"/>
      <c r="N38" s="323"/>
      <c r="O38" s="528"/>
      <c r="P38" s="528"/>
      <c r="R38" s="361"/>
      <c r="S38" s="964"/>
      <c r="T38" s="965"/>
      <c r="U38" s="323"/>
      <c r="V38" s="323"/>
      <c r="W38" s="323"/>
      <c r="X38" s="323"/>
      <c r="Y38" s="323"/>
      <c r="Z38" s="323"/>
      <c r="AA38" s="323"/>
      <c r="AB38" s="323"/>
      <c r="AC38" s="323"/>
      <c r="AD38" s="323"/>
      <c r="AE38" s="528"/>
      <c r="AF38" s="528"/>
      <c r="AH38" s="361"/>
      <c r="AI38" s="964"/>
      <c r="AJ38" s="965"/>
      <c r="AK38" s="323"/>
      <c r="AL38" s="323"/>
      <c r="AM38" s="323"/>
      <c r="AN38" s="323"/>
      <c r="AO38" s="323"/>
      <c r="AP38" s="323"/>
      <c r="AQ38" s="323"/>
      <c r="AR38" s="323"/>
      <c r="AS38" s="323"/>
      <c r="AT38" s="323"/>
      <c r="AU38" s="528"/>
      <c r="AV38" s="528"/>
    </row>
    <row r="39" spans="1:48">
      <c r="B39" s="361"/>
      <c r="C39" s="964"/>
      <c r="D39" s="965"/>
      <c r="E39" s="323"/>
      <c r="F39" s="323"/>
      <c r="G39" s="323"/>
      <c r="H39" s="323"/>
      <c r="I39" s="323"/>
      <c r="J39" s="323"/>
      <c r="K39" s="323"/>
      <c r="L39" s="323"/>
      <c r="M39" s="323"/>
      <c r="N39" s="323"/>
      <c r="O39" s="528"/>
      <c r="P39" s="528"/>
      <c r="R39" s="361"/>
      <c r="S39" s="964"/>
      <c r="T39" s="965"/>
      <c r="U39" s="323"/>
      <c r="V39" s="323"/>
      <c r="W39" s="323"/>
      <c r="X39" s="323"/>
      <c r="Y39" s="323"/>
      <c r="Z39" s="323"/>
      <c r="AA39" s="323"/>
      <c r="AB39" s="323"/>
      <c r="AC39" s="323"/>
      <c r="AD39" s="323"/>
      <c r="AE39" s="528"/>
      <c r="AF39" s="528"/>
      <c r="AH39" s="361"/>
      <c r="AI39" s="964"/>
      <c r="AJ39" s="965"/>
      <c r="AK39" s="323"/>
      <c r="AL39" s="323"/>
      <c r="AM39" s="323"/>
      <c r="AN39" s="323"/>
      <c r="AO39" s="323"/>
      <c r="AP39" s="323"/>
      <c r="AQ39" s="323"/>
      <c r="AR39" s="323"/>
      <c r="AS39" s="323"/>
      <c r="AT39" s="323"/>
      <c r="AU39" s="528"/>
      <c r="AV39" s="528"/>
    </row>
    <row r="40" spans="1:48">
      <c r="B40" s="361"/>
      <c r="C40" s="964"/>
      <c r="D40" s="965"/>
      <c r="E40" s="323"/>
      <c r="F40" s="323"/>
      <c r="G40" s="323"/>
      <c r="H40" s="323"/>
      <c r="I40" s="323"/>
      <c r="J40" s="323"/>
      <c r="K40" s="323"/>
      <c r="L40" s="323"/>
      <c r="M40" s="323"/>
      <c r="N40" s="323"/>
      <c r="O40" s="528"/>
      <c r="P40" s="528"/>
      <c r="R40" s="361"/>
      <c r="S40" s="964"/>
      <c r="T40" s="965"/>
      <c r="U40" s="323"/>
      <c r="V40" s="323"/>
      <c r="W40" s="323"/>
      <c r="X40" s="323"/>
      <c r="Y40" s="323"/>
      <c r="Z40" s="323"/>
      <c r="AA40" s="323"/>
      <c r="AB40" s="323"/>
      <c r="AC40" s="323"/>
      <c r="AD40" s="323"/>
      <c r="AE40" s="528"/>
      <c r="AF40" s="528"/>
      <c r="AH40" s="361"/>
      <c r="AI40" s="964"/>
      <c r="AJ40" s="965"/>
      <c r="AK40" s="323"/>
      <c r="AL40" s="323"/>
      <c r="AM40" s="323"/>
      <c r="AN40" s="323"/>
      <c r="AO40" s="323"/>
      <c r="AP40" s="323"/>
      <c r="AQ40" s="323"/>
      <c r="AR40" s="323"/>
      <c r="AS40" s="323"/>
      <c r="AT40" s="323"/>
      <c r="AU40" s="528"/>
      <c r="AV40" s="528"/>
    </row>
    <row r="41" spans="1:48">
      <c r="B41" s="361"/>
      <c r="C41" s="964"/>
      <c r="D41" s="965"/>
      <c r="E41" s="323"/>
      <c r="F41" s="323"/>
      <c r="G41" s="323"/>
      <c r="H41" s="323"/>
      <c r="I41" s="323"/>
      <c r="J41" s="323"/>
      <c r="K41" s="323"/>
      <c r="L41" s="323"/>
      <c r="M41" s="323"/>
      <c r="N41" s="323"/>
      <c r="O41" s="528"/>
      <c r="P41" s="528"/>
      <c r="R41" s="361"/>
      <c r="S41" s="964"/>
      <c r="T41" s="965"/>
      <c r="U41" s="323"/>
      <c r="V41" s="323"/>
      <c r="W41" s="323"/>
      <c r="X41" s="323"/>
      <c r="Y41" s="323"/>
      <c r="Z41" s="323"/>
      <c r="AA41" s="323"/>
      <c r="AB41" s="323"/>
      <c r="AC41" s="323"/>
      <c r="AD41" s="323"/>
      <c r="AE41" s="528"/>
      <c r="AF41" s="528"/>
      <c r="AH41" s="361"/>
      <c r="AI41" s="964"/>
      <c r="AJ41" s="965"/>
      <c r="AK41" s="323"/>
      <c r="AL41" s="323"/>
      <c r="AM41" s="323"/>
      <c r="AN41" s="323"/>
      <c r="AO41" s="323"/>
      <c r="AP41" s="323"/>
      <c r="AQ41" s="323"/>
      <c r="AR41" s="323"/>
      <c r="AS41" s="323"/>
      <c r="AT41" s="323"/>
      <c r="AU41" s="528"/>
      <c r="AV41" s="528"/>
    </row>
    <row r="42" spans="1:48">
      <c r="B42" s="361"/>
      <c r="C42" s="964"/>
      <c r="D42" s="965"/>
      <c r="E42" s="323"/>
      <c r="F42" s="323"/>
      <c r="G42" s="323"/>
      <c r="H42" s="323"/>
      <c r="I42" s="323"/>
      <c r="J42" s="323"/>
      <c r="K42" s="323"/>
      <c r="L42" s="323"/>
      <c r="M42" s="323"/>
      <c r="N42" s="323"/>
      <c r="O42" s="528"/>
      <c r="P42" s="528"/>
      <c r="R42" s="361"/>
      <c r="S42" s="964"/>
      <c r="T42" s="965"/>
      <c r="U42" s="323"/>
      <c r="V42" s="323"/>
      <c r="W42" s="323"/>
      <c r="X42" s="323"/>
      <c r="Y42" s="323"/>
      <c r="Z42" s="323"/>
      <c r="AA42" s="323"/>
      <c r="AB42" s="323"/>
      <c r="AC42" s="323"/>
      <c r="AD42" s="323"/>
      <c r="AE42" s="528"/>
      <c r="AF42" s="528"/>
      <c r="AH42" s="361"/>
      <c r="AI42" s="964"/>
      <c r="AJ42" s="965"/>
      <c r="AK42" s="323"/>
      <c r="AL42" s="323"/>
      <c r="AM42" s="323"/>
      <c r="AN42" s="323"/>
      <c r="AO42" s="323"/>
      <c r="AP42" s="323"/>
      <c r="AQ42" s="323"/>
      <c r="AR42" s="323"/>
      <c r="AS42" s="323"/>
      <c r="AT42" s="323"/>
      <c r="AU42" s="528"/>
      <c r="AV42" s="528"/>
    </row>
    <row r="43" spans="1:48">
      <c r="B43" s="361"/>
      <c r="C43" s="964"/>
      <c r="D43" s="965"/>
      <c r="E43" s="323"/>
      <c r="F43" s="323"/>
      <c r="G43" s="323"/>
      <c r="H43" s="323"/>
      <c r="I43" s="323"/>
      <c r="J43" s="323"/>
      <c r="K43" s="323"/>
      <c r="L43" s="323"/>
      <c r="M43" s="323"/>
      <c r="N43" s="323"/>
      <c r="O43" s="528"/>
      <c r="P43" s="528"/>
      <c r="R43" s="361"/>
      <c r="S43" s="964"/>
      <c r="T43" s="965"/>
      <c r="U43" s="323"/>
      <c r="V43" s="323"/>
      <c r="W43" s="323"/>
      <c r="X43" s="323"/>
      <c r="Y43" s="323"/>
      <c r="Z43" s="323"/>
      <c r="AA43" s="323"/>
      <c r="AB43" s="323"/>
      <c r="AC43" s="323"/>
      <c r="AD43" s="323"/>
      <c r="AE43" s="528"/>
      <c r="AF43" s="528"/>
      <c r="AH43" s="361"/>
      <c r="AI43" s="964"/>
      <c r="AJ43" s="965"/>
      <c r="AK43" s="323"/>
      <c r="AL43" s="323"/>
      <c r="AM43" s="323"/>
      <c r="AN43" s="323"/>
      <c r="AO43" s="323"/>
      <c r="AP43" s="323"/>
      <c r="AQ43" s="323"/>
      <c r="AR43" s="323"/>
      <c r="AS43" s="323"/>
      <c r="AT43" s="323"/>
      <c r="AU43" s="528"/>
      <c r="AV43" s="528"/>
    </row>
    <row r="44" spans="1:48">
      <c r="B44" s="361"/>
      <c r="C44" s="964"/>
      <c r="D44" s="965"/>
      <c r="E44" s="323"/>
      <c r="F44" s="323"/>
      <c r="G44" s="323"/>
      <c r="H44" s="323"/>
      <c r="I44" s="323"/>
      <c r="J44" s="323"/>
      <c r="K44" s="323"/>
      <c r="L44" s="323"/>
      <c r="M44" s="323"/>
      <c r="N44" s="323"/>
      <c r="O44" s="528"/>
      <c r="P44" s="528"/>
      <c r="R44" s="361"/>
      <c r="S44" s="964"/>
      <c r="T44" s="965"/>
      <c r="U44" s="323"/>
      <c r="V44" s="323"/>
      <c r="W44" s="323"/>
      <c r="X44" s="323"/>
      <c r="Y44" s="323"/>
      <c r="Z44" s="323"/>
      <c r="AA44" s="323"/>
      <c r="AB44" s="323"/>
      <c r="AC44" s="323"/>
      <c r="AD44" s="323"/>
      <c r="AE44" s="528"/>
      <c r="AF44" s="528"/>
      <c r="AH44" s="361"/>
      <c r="AI44" s="964"/>
      <c r="AJ44" s="965"/>
      <c r="AK44" s="323"/>
      <c r="AL44" s="323"/>
      <c r="AM44" s="323"/>
      <c r="AN44" s="323"/>
      <c r="AO44" s="323"/>
      <c r="AP44" s="323"/>
      <c r="AQ44" s="323"/>
      <c r="AR44" s="323"/>
      <c r="AS44" s="323"/>
      <c r="AT44" s="323"/>
      <c r="AU44" s="528"/>
      <c r="AV44" s="528"/>
    </row>
    <row r="45" spans="1:48">
      <c r="B45" s="361"/>
      <c r="C45" s="964"/>
      <c r="D45" s="965"/>
      <c r="E45" s="323"/>
      <c r="F45" s="323"/>
      <c r="G45" s="323"/>
      <c r="H45" s="323"/>
      <c r="I45" s="323"/>
      <c r="J45" s="323"/>
      <c r="K45" s="323"/>
      <c r="L45" s="323"/>
      <c r="M45" s="323"/>
      <c r="N45" s="323"/>
      <c r="O45" s="528"/>
      <c r="P45" s="528"/>
      <c r="R45" s="361"/>
      <c r="S45" s="964"/>
      <c r="T45" s="965"/>
      <c r="U45" s="323"/>
      <c r="V45" s="323"/>
      <c r="W45" s="323"/>
      <c r="X45" s="323"/>
      <c r="Y45" s="323"/>
      <c r="Z45" s="323"/>
      <c r="AA45" s="323"/>
      <c r="AB45" s="323"/>
      <c r="AC45" s="323"/>
      <c r="AD45" s="323"/>
      <c r="AE45" s="528"/>
      <c r="AF45" s="528"/>
      <c r="AH45" s="361"/>
      <c r="AI45" s="964"/>
      <c r="AJ45" s="965"/>
      <c r="AK45" s="323"/>
      <c r="AL45" s="323"/>
      <c r="AM45" s="323"/>
      <c r="AN45" s="323"/>
      <c r="AO45" s="323"/>
      <c r="AP45" s="323"/>
      <c r="AQ45" s="323"/>
      <c r="AR45" s="323"/>
      <c r="AS45" s="323"/>
      <c r="AT45" s="323"/>
      <c r="AU45" s="528"/>
      <c r="AV45" s="528"/>
    </row>
    <row r="46" spans="1:48">
      <c r="B46" s="361"/>
      <c r="C46" s="964"/>
      <c r="D46" s="965"/>
      <c r="E46" s="323"/>
      <c r="F46" s="323"/>
      <c r="G46" s="323"/>
      <c r="H46" s="323"/>
      <c r="I46" s="323"/>
      <c r="J46" s="323"/>
      <c r="K46" s="323"/>
      <c r="L46" s="323"/>
      <c r="M46" s="323"/>
      <c r="N46" s="323"/>
      <c r="O46" s="528"/>
      <c r="P46" s="528"/>
      <c r="R46" s="361"/>
      <c r="S46" s="964"/>
      <c r="T46" s="965"/>
      <c r="U46" s="323"/>
      <c r="V46" s="323"/>
      <c r="W46" s="323"/>
      <c r="X46" s="323"/>
      <c r="Y46" s="323"/>
      <c r="Z46" s="323"/>
      <c r="AA46" s="323"/>
      <c r="AB46" s="323"/>
      <c r="AC46" s="323"/>
      <c r="AD46" s="323"/>
      <c r="AE46" s="528"/>
      <c r="AF46" s="528"/>
      <c r="AH46" s="361"/>
      <c r="AI46" s="964"/>
      <c r="AJ46" s="965"/>
      <c r="AK46" s="323"/>
      <c r="AL46" s="323"/>
      <c r="AM46" s="323"/>
      <c r="AN46" s="323"/>
      <c r="AO46" s="323"/>
      <c r="AP46" s="323"/>
      <c r="AQ46" s="323"/>
      <c r="AR46" s="323"/>
      <c r="AS46" s="323"/>
      <c r="AT46" s="323"/>
      <c r="AU46" s="528"/>
      <c r="AV46" s="528"/>
    </row>
    <row r="47" spans="1:48">
      <c r="B47" s="361"/>
      <c r="C47" s="964"/>
      <c r="D47" s="965"/>
      <c r="E47" s="323"/>
      <c r="F47" s="323"/>
      <c r="G47" s="323"/>
      <c r="H47" s="323"/>
      <c r="I47" s="323"/>
      <c r="J47" s="323"/>
      <c r="K47" s="323"/>
      <c r="L47" s="323"/>
      <c r="M47" s="323"/>
      <c r="N47" s="323"/>
      <c r="O47" s="528"/>
      <c r="P47" s="528"/>
      <c r="R47" s="361"/>
      <c r="S47" s="964"/>
      <c r="T47" s="965"/>
      <c r="U47" s="323"/>
      <c r="V47" s="323"/>
      <c r="W47" s="323"/>
      <c r="X47" s="323"/>
      <c r="Y47" s="323"/>
      <c r="Z47" s="323"/>
      <c r="AA47" s="323"/>
      <c r="AB47" s="323"/>
      <c r="AC47" s="323"/>
      <c r="AD47" s="323"/>
      <c r="AE47" s="528"/>
      <c r="AF47" s="528"/>
      <c r="AH47" s="361"/>
      <c r="AI47" s="964"/>
      <c r="AJ47" s="965"/>
      <c r="AK47" s="323"/>
      <c r="AL47" s="323"/>
      <c r="AM47" s="323"/>
      <c r="AN47" s="323"/>
      <c r="AO47" s="323"/>
      <c r="AP47" s="323"/>
      <c r="AQ47" s="323"/>
      <c r="AR47" s="323"/>
      <c r="AS47" s="323"/>
      <c r="AT47" s="323"/>
      <c r="AU47" s="528"/>
      <c r="AV47" s="528"/>
    </row>
    <row r="48" spans="1:48">
      <c r="B48" s="361"/>
      <c r="C48" s="964"/>
      <c r="D48" s="965"/>
      <c r="E48" s="323"/>
      <c r="F48" s="323"/>
      <c r="G48" s="323"/>
      <c r="H48" s="323"/>
      <c r="I48" s="323"/>
      <c r="J48" s="323"/>
      <c r="K48" s="323"/>
      <c r="L48" s="323"/>
      <c r="M48" s="323"/>
      <c r="N48" s="323"/>
      <c r="O48" s="528"/>
      <c r="P48" s="528"/>
      <c r="R48" s="361"/>
      <c r="S48" s="964"/>
      <c r="T48" s="965"/>
      <c r="U48" s="323"/>
      <c r="V48" s="323"/>
      <c r="W48" s="323"/>
      <c r="X48" s="323"/>
      <c r="Y48" s="323"/>
      <c r="Z48" s="323"/>
      <c r="AA48" s="323"/>
      <c r="AB48" s="323"/>
      <c r="AC48" s="323"/>
      <c r="AD48" s="323"/>
      <c r="AE48" s="528"/>
      <c r="AF48" s="528"/>
      <c r="AH48" s="361"/>
      <c r="AI48" s="964"/>
      <c r="AJ48" s="965"/>
      <c r="AK48" s="323"/>
      <c r="AL48" s="323"/>
      <c r="AM48" s="323"/>
      <c r="AN48" s="323"/>
      <c r="AO48" s="323"/>
      <c r="AP48" s="323"/>
      <c r="AQ48" s="323"/>
      <c r="AR48" s="323"/>
      <c r="AS48" s="323"/>
      <c r="AT48" s="323"/>
      <c r="AU48" s="528"/>
      <c r="AV48" s="528"/>
    </row>
    <row r="49" spans="1:48">
      <c r="B49" s="361"/>
      <c r="C49" s="964"/>
      <c r="D49" s="965"/>
      <c r="E49" s="323"/>
      <c r="F49" s="323"/>
      <c r="G49" s="323"/>
      <c r="H49" s="323"/>
      <c r="I49" s="323"/>
      <c r="J49" s="323"/>
      <c r="K49" s="323"/>
      <c r="L49" s="323"/>
      <c r="M49" s="323"/>
      <c r="N49" s="323"/>
      <c r="O49" s="528"/>
      <c r="P49" s="528"/>
      <c r="R49" s="361"/>
      <c r="S49" s="964"/>
      <c r="T49" s="965"/>
      <c r="U49" s="323"/>
      <c r="V49" s="323"/>
      <c r="W49" s="323"/>
      <c r="X49" s="323"/>
      <c r="Y49" s="323"/>
      <c r="Z49" s="323"/>
      <c r="AA49" s="323"/>
      <c r="AB49" s="323"/>
      <c r="AC49" s="323"/>
      <c r="AD49" s="323"/>
      <c r="AE49" s="528"/>
      <c r="AF49" s="528"/>
      <c r="AH49" s="361"/>
      <c r="AI49" s="964"/>
      <c r="AJ49" s="965"/>
      <c r="AK49" s="323"/>
      <c r="AL49" s="323"/>
      <c r="AM49" s="323"/>
      <c r="AN49" s="323"/>
      <c r="AO49" s="323"/>
      <c r="AP49" s="323"/>
      <c r="AQ49" s="323"/>
      <c r="AR49" s="323"/>
      <c r="AS49" s="323"/>
      <c r="AT49" s="323"/>
      <c r="AU49" s="528"/>
      <c r="AV49" s="528"/>
    </row>
    <row r="50" spans="1:48" ht="14.5" thickBot="1">
      <c r="A50" s="297"/>
      <c r="B50" s="529"/>
      <c r="C50" s="966"/>
      <c r="D50" s="967"/>
      <c r="E50" s="453"/>
      <c r="F50" s="453"/>
      <c r="G50" s="453"/>
      <c r="H50" s="453"/>
      <c r="I50" s="453"/>
      <c r="J50" s="453"/>
      <c r="K50" s="453"/>
      <c r="L50" s="453"/>
      <c r="M50" s="453"/>
      <c r="N50" s="453"/>
      <c r="O50" s="530"/>
      <c r="P50" s="530"/>
      <c r="R50" s="529"/>
      <c r="S50" s="966"/>
      <c r="T50" s="967"/>
      <c r="U50" s="453"/>
      <c r="V50" s="453"/>
      <c r="W50" s="453"/>
      <c r="X50" s="453"/>
      <c r="Y50" s="453"/>
      <c r="Z50" s="453"/>
      <c r="AA50" s="453"/>
      <c r="AB50" s="453"/>
      <c r="AC50" s="453"/>
      <c r="AD50" s="453"/>
      <c r="AE50" s="530"/>
      <c r="AF50" s="530"/>
      <c r="AH50" s="529"/>
      <c r="AI50" s="966"/>
      <c r="AJ50" s="967"/>
      <c r="AK50" s="453"/>
      <c r="AL50" s="453"/>
      <c r="AM50" s="453"/>
      <c r="AN50" s="453"/>
      <c r="AO50" s="453"/>
      <c r="AP50" s="453"/>
      <c r="AQ50" s="453"/>
      <c r="AR50" s="453"/>
      <c r="AS50" s="453"/>
      <c r="AT50" s="453"/>
      <c r="AU50" s="530"/>
      <c r="AV50" s="530"/>
    </row>
    <row r="51" spans="1:48" thickTop="1" thickBot="1">
      <c r="A51" s="297"/>
      <c r="B51" s="531"/>
      <c r="C51" s="532"/>
      <c r="D51" s="532"/>
      <c r="E51" s="532"/>
      <c r="F51" s="532"/>
      <c r="G51" s="532"/>
      <c r="H51" s="532"/>
      <c r="I51" s="532"/>
      <c r="J51" s="532"/>
      <c r="K51" s="532"/>
      <c r="L51" s="532"/>
      <c r="M51" s="532"/>
      <c r="N51" s="533" t="s">
        <v>1592</v>
      </c>
      <c r="O51" s="534">
        <f>SUM(O31:O50)</f>
        <v>0</v>
      </c>
      <c r="P51" s="535">
        <f>SUM(P31:P50)</f>
        <v>0</v>
      </c>
      <c r="R51" s="531"/>
      <c r="S51" s="532"/>
      <c r="T51" s="532"/>
      <c r="U51" s="532"/>
      <c r="V51" s="532"/>
      <c r="W51" s="532"/>
      <c r="X51" s="532"/>
      <c r="Y51" s="532"/>
      <c r="Z51" s="532"/>
      <c r="AA51" s="532"/>
      <c r="AB51" s="532"/>
      <c r="AC51" s="532"/>
      <c r="AD51" s="533" t="s">
        <v>1592</v>
      </c>
      <c r="AE51" s="534">
        <f>SUM(AE31:AE50)</f>
        <v>0</v>
      </c>
      <c r="AF51" s="535">
        <f>SUM(AF31:AF50)</f>
        <v>0</v>
      </c>
      <c r="AH51" s="531"/>
      <c r="AI51" s="532"/>
      <c r="AJ51" s="532"/>
      <c r="AK51" s="532"/>
      <c r="AL51" s="532"/>
      <c r="AM51" s="532"/>
      <c r="AN51" s="532"/>
      <c r="AO51" s="532"/>
      <c r="AP51" s="532"/>
      <c r="AQ51" s="532"/>
      <c r="AR51" s="532"/>
      <c r="AS51" s="532"/>
      <c r="AT51" s="533" t="s">
        <v>1592</v>
      </c>
      <c r="AU51" s="534">
        <f>SUM(AU31:AU50)</f>
        <v>0</v>
      </c>
      <c r="AV51" s="535">
        <f>SUM(AV31:AV50)</f>
        <v>0</v>
      </c>
    </row>
    <row r="52" spans="1:48" ht="14.5" thickTop="1">
      <c r="A52" s="297"/>
    </row>
    <row r="53" spans="1:48">
      <c r="B53" s="536"/>
      <c r="C53" s="537"/>
      <c r="D53" s="537"/>
      <c r="E53" s="537"/>
      <c r="F53" s="537"/>
      <c r="G53" s="537"/>
      <c r="H53" s="537"/>
      <c r="I53" s="537"/>
      <c r="J53" s="537"/>
      <c r="K53" s="537"/>
      <c r="L53" s="537"/>
      <c r="M53" s="537"/>
      <c r="N53" s="538" t="s">
        <v>1575</v>
      </c>
      <c r="O53" s="539">
        <f>SUMIF(B31:B50,1,O31:O50)</f>
        <v>0</v>
      </c>
      <c r="P53" s="540">
        <f>O53*0.0001</f>
        <v>0</v>
      </c>
      <c r="R53" s="536"/>
      <c r="S53" s="537"/>
      <c r="T53" s="537"/>
      <c r="U53" s="537"/>
      <c r="V53" s="537"/>
      <c r="W53" s="537"/>
      <c r="X53" s="537"/>
      <c r="Y53" s="537"/>
      <c r="Z53" s="537"/>
      <c r="AA53" s="537"/>
      <c r="AB53" s="537"/>
      <c r="AC53" s="537"/>
      <c r="AD53" s="538" t="s">
        <v>1575</v>
      </c>
      <c r="AE53" s="539">
        <f>SUMIF(R31:R50,1,AE31:AE50)</f>
        <v>0</v>
      </c>
      <c r="AF53" s="540">
        <f>AE53*0.0001</f>
        <v>0</v>
      </c>
      <c r="AH53" s="536"/>
      <c r="AI53" s="537"/>
      <c r="AJ53" s="537"/>
      <c r="AK53" s="537"/>
      <c r="AL53" s="537"/>
      <c r="AM53" s="537"/>
      <c r="AN53" s="537"/>
      <c r="AO53" s="537"/>
      <c r="AP53" s="537"/>
      <c r="AQ53" s="537"/>
      <c r="AR53" s="537"/>
      <c r="AS53" s="537"/>
      <c r="AT53" s="538" t="s">
        <v>1575</v>
      </c>
      <c r="AU53" s="539">
        <f>SUMIF(AH31:AH50,1,AU31:AU50)</f>
        <v>0</v>
      </c>
      <c r="AV53" s="540">
        <f>AU53*0.0001</f>
        <v>0</v>
      </c>
    </row>
    <row r="54" spans="1:48">
      <c r="B54" s="536"/>
      <c r="C54" s="537"/>
      <c r="D54" s="537"/>
      <c r="E54" s="537"/>
      <c r="F54" s="537"/>
      <c r="G54" s="537"/>
      <c r="H54" s="537"/>
      <c r="I54" s="537"/>
      <c r="J54" s="537"/>
      <c r="K54" s="537"/>
      <c r="L54" s="537"/>
      <c r="M54" s="537"/>
      <c r="N54" s="538" t="s">
        <v>1576</v>
      </c>
      <c r="O54" s="539">
        <f>SUMIF(B31:B50,2,O31:O50)</f>
        <v>0</v>
      </c>
      <c r="P54" s="540">
        <f>O54*0.0001</f>
        <v>0</v>
      </c>
      <c r="R54" s="536"/>
      <c r="S54" s="537"/>
      <c r="T54" s="537"/>
      <c r="U54" s="537"/>
      <c r="V54" s="537"/>
      <c r="W54" s="537"/>
      <c r="X54" s="537"/>
      <c r="Y54" s="537"/>
      <c r="Z54" s="537"/>
      <c r="AA54" s="537"/>
      <c r="AB54" s="537"/>
      <c r="AC54" s="537"/>
      <c r="AD54" s="538" t="s">
        <v>1576</v>
      </c>
      <c r="AE54" s="539">
        <f>SUMIF(R31:R50,2,AE31:AE50)</f>
        <v>0</v>
      </c>
      <c r="AF54" s="540">
        <f>AE54*0.0001</f>
        <v>0</v>
      </c>
      <c r="AH54" s="536"/>
      <c r="AI54" s="537"/>
      <c r="AJ54" s="537"/>
      <c r="AK54" s="537"/>
      <c r="AL54" s="537"/>
      <c r="AM54" s="537"/>
      <c r="AN54" s="537"/>
      <c r="AO54" s="537"/>
      <c r="AP54" s="537"/>
      <c r="AQ54" s="537"/>
      <c r="AR54" s="537"/>
      <c r="AS54" s="537"/>
      <c r="AT54" s="538" t="s">
        <v>1576</v>
      </c>
      <c r="AU54" s="539">
        <f>SUMIF(AH31:AH50,2,AU31:AU50)</f>
        <v>0</v>
      </c>
      <c r="AV54" s="540">
        <f>AU54*0.0001</f>
        <v>0</v>
      </c>
    </row>
    <row r="55" spans="1:48">
      <c r="B55" s="536"/>
      <c r="C55" s="537"/>
      <c r="D55" s="537"/>
      <c r="E55" s="537"/>
      <c r="F55" s="537"/>
      <c r="G55" s="537"/>
      <c r="H55" s="537"/>
      <c r="I55" s="537"/>
      <c r="J55" s="537"/>
      <c r="K55" s="537"/>
      <c r="L55" s="537"/>
      <c r="M55" s="537"/>
      <c r="N55" s="538" t="s">
        <v>1577</v>
      </c>
      <c r="O55" s="539">
        <f>SUMIF(B31:B50,3,O31:O50)</f>
        <v>0</v>
      </c>
      <c r="P55" s="540">
        <f>O55*0.0001</f>
        <v>0</v>
      </c>
      <c r="R55" s="536"/>
      <c r="S55" s="537"/>
      <c r="T55" s="537"/>
      <c r="U55" s="537"/>
      <c r="V55" s="537"/>
      <c r="W55" s="537"/>
      <c r="X55" s="537"/>
      <c r="Y55" s="537"/>
      <c r="Z55" s="537"/>
      <c r="AA55" s="537"/>
      <c r="AB55" s="537"/>
      <c r="AC55" s="537"/>
      <c r="AD55" s="538" t="s">
        <v>1577</v>
      </c>
      <c r="AE55" s="539">
        <f>SUMIF(R31:R50,3,AE31:AE50)</f>
        <v>0</v>
      </c>
      <c r="AF55" s="540">
        <f>AE55*0.0001</f>
        <v>0</v>
      </c>
      <c r="AH55" s="536"/>
      <c r="AI55" s="537"/>
      <c r="AJ55" s="537"/>
      <c r="AK55" s="537"/>
      <c r="AL55" s="537"/>
      <c r="AM55" s="537"/>
      <c r="AN55" s="537"/>
      <c r="AO55" s="537"/>
      <c r="AP55" s="537"/>
      <c r="AQ55" s="537"/>
      <c r="AR55" s="537"/>
      <c r="AS55" s="537"/>
      <c r="AT55" s="538" t="s">
        <v>1577</v>
      </c>
      <c r="AU55" s="539">
        <f>SUMIF(AH31:AH50,3,AU31:AU50)</f>
        <v>0</v>
      </c>
      <c r="AV55" s="540">
        <f>AU55*0.0001</f>
        <v>0</v>
      </c>
    </row>
    <row r="56" spans="1:48" ht="14">
      <c r="A56" s="297"/>
    </row>
    <row r="73" spans="1:1" ht="14">
      <c r="A73" s="297"/>
    </row>
  </sheetData>
  <mergeCells count="99">
    <mergeCell ref="AI46:AJ46"/>
    <mergeCell ref="AI47:AJ47"/>
    <mergeCell ref="AI48:AJ48"/>
    <mergeCell ref="AI49:AJ49"/>
    <mergeCell ref="AI50:AJ50"/>
    <mergeCell ref="AU27:AV29"/>
    <mergeCell ref="AI31:AJ31"/>
    <mergeCell ref="AI32:AJ32"/>
    <mergeCell ref="AI33:AJ33"/>
    <mergeCell ref="AI34:AJ34"/>
    <mergeCell ref="AP27:AP29"/>
    <mergeCell ref="AQ27:AQ29"/>
    <mergeCell ref="AR27:AR29"/>
    <mergeCell ref="AS27:AS29"/>
    <mergeCell ref="AT27:AT30"/>
    <mergeCell ref="AK27:AK30"/>
    <mergeCell ref="AL27:AL29"/>
    <mergeCell ref="AM27:AM29"/>
    <mergeCell ref="AN27:AN29"/>
    <mergeCell ref="AO27:AO29"/>
    <mergeCell ref="S48:T48"/>
    <mergeCell ref="S49:T49"/>
    <mergeCell ref="S50:T50"/>
    <mergeCell ref="AH27:AH30"/>
    <mergeCell ref="AI27:AJ30"/>
    <mergeCell ref="AI35:AJ35"/>
    <mergeCell ref="AI36:AJ36"/>
    <mergeCell ref="AI37:AJ37"/>
    <mergeCell ref="AI38:AJ38"/>
    <mergeCell ref="AI39:AJ39"/>
    <mergeCell ref="AI40:AJ40"/>
    <mergeCell ref="AI41:AJ41"/>
    <mergeCell ref="AI42:AJ42"/>
    <mergeCell ref="AI43:AJ43"/>
    <mergeCell ref="AI44:AJ44"/>
    <mergeCell ref="AI45:AJ45"/>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AC27:AC29"/>
    <mergeCell ref="AD27:AD30"/>
    <mergeCell ref="AE27:AF29"/>
    <mergeCell ref="S31:T31"/>
    <mergeCell ref="S32:T32"/>
    <mergeCell ref="X27:X29"/>
    <mergeCell ref="Y27:Y29"/>
    <mergeCell ref="Z27:Z29"/>
    <mergeCell ref="AA27:AA29"/>
    <mergeCell ref="AB27:AB29"/>
    <mergeCell ref="R27:R30"/>
    <mergeCell ref="S27:T30"/>
    <mergeCell ref="U27:U30"/>
    <mergeCell ref="V27:V29"/>
    <mergeCell ref="W27:W29"/>
    <mergeCell ref="G27:G29"/>
    <mergeCell ref="F27:F29"/>
    <mergeCell ref="M27:M29"/>
    <mergeCell ref="O27:P29"/>
    <mergeCell ref="H27:H29"/>
    <mergeCell ref="I27:I29"/>
    <mergeCell ref="J27:J29"/>
    <mergeCell ref="K27:K29"/>
    <mergeCell ref="L27:L29"/>
    <mergeCell ref="N27:N30"/>
    <mergeCell ref="C33:D33"/>
    <mergeCell ref="C34:D34"/>
    <mergeCell ref="C35:D35"/>
    <mergeCell ref="C36:D36"/>
    <mergeCell ref="B27:B30"/>
    <mergeCell ref="C27:D30"/>
    <mergeCell ref="C31:D31"/>
    <mergeCell ref="C47:D47"/>
    <mergeCell ref="C48:D48"/>
    <mergeCell ref="C49:D49"/>
    <mergeCell ref="C50:D50"/>
    <mergeCell ref="E27:E30"/>
    <mergeCell ref="C42:D42"/>
    <mergeCell ref="C43:D43"/>
    <mergeCell ref="C44:D44"/>
    <mergeCell ref="C45:D45"/>
    <mergeCell ref="C46:D46"/>
    <mergeCell ref="C37:D37"/>
    <mergeCell ref="C38:D38"/>
    <mergeCell ref="C39:D39"/>
    <mergeCell ref="C40:D40"/>
    <mergeCell ref="C41:D41"/>
    <mergeCell ref="C32:D32"/>
  </mergeCells>
  <hyperlinks>
    <hyperlink ref="A2" location="Sisukord!A1" display="Sisukord"/>
    <hyperlink ref="B13" r:id="rI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G68"/>
  <sheetViews>
    <sheetView showGridLines="0" zoomScale="90" zoomScaleNormal="90" workbookViewId="0">
      <pane xSplit="1" ySplit="1" topLeftCell="B41" activePane="bottomRight" state="frozen"/>
      <selection pane="topRight" activeCell="B1" sqref="B1"/>
      <selection pane="bottomLeft" activeCell="A2" sqref="A2"/>
      <selection pane="bottomRight" activeCell="J71" sqref="J71"/>
    </sheetView>
  </sheetViews>
  <sheetFormatPr defaultRowHeight="15" customHeight="1"/>
  <cols>
    <col min="1" max="1" width="7.1796875" customWidth="1"/>
    <col min="2" max="2" width="9.7265625" customWidth="1"/>
    <col min="3" max="3" width="9.54296875" customWidth="1"/>
    <col min="4" max="4" width="30.54296875" customWidth="1"/>
    <col min="5" max="5" width="19.7265625" style="866" customWidth="1"/>
    <col min="6" max="6" width="19.7265625" customWidth="1"/>
    <col min="7" max="7" width="19.7265625" style="866" customWidth="1"/>
    <col min="8" max="8" width="19.7265625" customWidth="1"/>
    <col min="9" max="9" width="43.453125" customWidth="1"/>
    <col min="10" max="11" width="14" customWidth="1"/>
    <col min="13" max="13" width="9.7265625" customWidth="1"/>
    <col min="14" max="14" width="9.54296875" customWidth="1"/>
    <col min="15" max="15" width="30.54296875" style="866" customWidth="1"/>
    <col min="16" max="18" width="19.7265625" style="866" customWidth="1"/>
    <col min="19" max="19" width="19.7265625" customWidth="1"/>
    <col min="20" max="20" width="43.453125" customWidth="1"/>
    <col min="21" max="22" width="14" customWidth="1"/>
    <col min="23" max="24" width="9.7265625" customWidth="1"/>
    <col min="25" max="25" width="9.54296875" style="866" customWidth="1"/>
    <col min="26" max="26" width="30.54296875" customWidth="1"/>
    <col min="27" max="30" width="19.7265625" customWidth="1"/>
    <col min="31" max="31" width="43.453125" customWidth="1"/>
    <col min="32" max="33" width="14" customWidth="1"/>
  </cols>
  <sheetData>
    <row r="1" spans="1:30" ht="21" customHeight="1">
      <c r="B1" s="291" t="s">
        <v>2313</v>
      </c>
    </row>
    <row r="2" spans="1:30" ht="15" customHeight="1">
      <c r="A2" s="295" t="s">
        <v>1</v>
      </c>
      <c r="B2" s="516" t="s">
        <v>2325</v>
      </c>
      <c r="C2" s="868"/>
      <c r="D2" s="868"/>
      <c r="E2" s="868"/>
      <c r="F2" s="868"/>
      <c r="G2" s="868"/>
      <c r="H2" s="868"/>
      <c r="I2" s="868"/>
      <c r="J2" s="868"/>
      <c r="K2" s="869"/>
      <c r="O2"/>
    </row>
    <row r="3" spans="1:30" s="884" customFormat="1" ht="15" customHeight="1">
      <c r="A3" s="295"/>
      <c r="B3" s="519" t="s">
        <v>2326</v>
      </c>
      <c r="C3" s="870"/>
      <c r="D3" s="870"/>
      <c r="E3" s="870"/>
      <c r="F3" s="870"/>
      <c r="G3" s="870"/>
      <c r="H3" s="870"/>
      <c r="I3" s="870"/>
      <c r="J3" s="870"/>
      <c r="K3" s="871"/>
    </row>
    <row r="4" spans="1:30" ht="15" customHeight="1">
      <c r="B4" s="519" t="s">
        <v>2327</v>
      </c>
      <c r="C4" s="870"/>
      <c r="D4" s="870"/>
      <c r="E4" s="870"/>
      <c r="F4" s="870"/>
      <c r="G4" s="870"/>
      <c r="H4" s="870"/>
      <c r="I4" s="870"/>
      <c r="J4" s="870"/>
      <c r="K4" s="871"/>
      <c r="O4"/>
    </row>
    <row r="5" spans="1:30" s="884" customFormat="1" ht="15" customHeight="1">
      <c r="B5" s="519" t="s">
        <v>2328</v>
      </c>
      <c r="C5" s="870"/>
      <c r="D5" s="870"/>
      <c r="E5" s="870"/>
      <c r="F5" s="870"/>
      <c r="G5" s="870"/>
      <c r="H5" s="870"/>
      <c r="I5" s="870"/>
      <c r="J5" s="870"/>
      <c r="K5" s="871"/>
    </row>
    <row r="6" spans="1:30" ht="15" customHeight="1">
      <c r="B6" s="519" t="s">
        <v>2293</v>
      </c>
      <c r="C6" s="870"/>
      <c r="D6" s="870"/>
      <c r="E6" s="870"/>
      <c r="F6" s="870"/>
      <c r="G6" s="870"/>
      <c r="H6" s="870"/>
      <c r="I6" s="870"/>
      <c r="J6" s="870"/>
      <c r="K6" s="871"/>
      <c r="O6"/>
    </row>
    <row r="7" spans="1:30" ht="15" customHeight="1">
      <c r="B7" s="753" t="s">
        <v>2339</v>
      </c>
      <c r="C7" s="870"/>
      <c r="D7" s="870"/>
      <c r="E7" s="870"/>
      <c r="F7" s="870"/>
      <c r="G7" s="870"/>
      <c r="H7" s="870"/>
      <c r="I7" s="870"/>
      <c r="J7" s="870"/>
      <c r="K7" s="871"/>
      <c r="O7"/>
    </row>
    <row r="8" spans="1:30" s="884" customFormat="1" ht="15" customHeight="1">
      <c r="B8" s="885" t="s">
        <v>2329</v>
      </c>
      <c r="C8" s="870"/>
      <c r="D8" s="870"/>
      <c r="E8" s="870"/>
      <c r="F8" s="870"/>
      <c r="G8" s="870"/>
      <c r="H8" s="870"/>
      <c r="I8" s="870"/>
      <c r="J8" s="870"/>
      <c r="K8" s="871"/>
    </row>
    <row r="9" spans="1:30" s="884" customFormat="1" ht="15" customHeight="1">
      <c r="B9" s="885" t="s">
        <v>2330</v>
      </c>
      <c r="C9" s="870"/>
      <c r="D9" s="870"/>
      <c r="E9" s="870"/>
      <c r="F9" s="870"/>
      <c r="G9" s="870"/>
      <c r="H9" s="870"/>
      <c r="I9" s="870"/>
      <c r="J9" s="870"/>
      <c r="K9" s="871"/>
    </row>
    <row r="10" spans="1:30" s="884" customFormat="1" ht="15" customHeight="1">
      <c r="B10" s="885" t="s">
        <v>2331</v>
      </c>
      <c r="C10" s="870"/>
      <c r="D10" s="870"/>
      <c r="E10" s="870"/>
      <c r="F10" s="870"/>
      <c r="G10" s="870"/>
      <c r="H10" s="870"/>
      <c r="I10" s="870"/>
      <c r="J10" s="870"/>
      <c r="K10" s="871"/>
    </row>
    <row r="11" spans="1:30" s="884" customFormat="1" ht="15" customHeight="1">
      <c r="B11" s="885" t="s">
        <v>2332</v>
      </c>
      <c r="C11" s="870"/>
      <c r="D11" s="870"/>
      <c r="E11" s="870"/>
      <c r="F11" s="870"/>
      <c r="G11" s="870"/>
      <c r="H11" s="870"/>
      <c r="I11" s="870"/>
      <c r="J11" s="870"/>
      <c r="K11" s="871"/>
    </row>
    <row r="12" spans="1:30" s="884" customFormat="1" ht="15" customHeight="1">
      <c r="B12" s="885"/>
      <c r="C12" s="870"/>
      <c r="D12" s="870"/>
      <c r="E12" s="870"/>
      <c r="F12" s="870"/>
      <c r="G12" s="870"/>
      <c r="H12" s="870"/>
      <c r="I12" s="870"/>
      <c r="J12" s="870"/>
      <c r="K12" s="871"/>
    </row>
    <row r="13" spans="1:30" s="884" customFormat="1" ht="15" customHeight="1">
      <c r="B13" s="886" t="s">
        <v>1746</v>
      </c>
      <c r="C13" s="872"/>
      <c r="D13" s="872"/>
      <c r="E13" s="872"/>
      <c r="F13" s="872"/>
      <c r="G13" s="872"/>
      <c r="H13" s="872"/>
      <c r="I13" s="872"/>
      <c r="J13" s="872"/>
      <c r="K13" s="873"/>
    </row>
    <row r="14" spans="1:30" s="866" customFormat="1" ht="15" customHeight="1" thickBot="1">
      <c r="B14" s="352"/>
      <c r="C14" s="870"/>
      <c r="D14" s="870"/>
      <c r="E14" s="870"/>
      <c r="F14" s="870"/>
      <c r="G14" s="870"/>
      <c r="H14" s="870"/>
      <c r="I14" s="870"/>
      <c r="J14" s="870"/>
      <c r="O14"/>
    </row>
    <row r="15" spans="1:30" s="866" customFormat="1" ht="15" customHeight="1" thickTop="1" thickBot="1">
      <c r="B15" s="502" t="s">
        <v>55</v>
      </c>
      <c r="C15" s="526">
        <f>Organisatsioon!B23</f>
        <v>2021</v>
      </c>
      <c r="D15" s="870"/>
      <c r="E15" s="870"/>
      <c r="F15" s="870"/>
      <c r="G15" s="870"/>
      <c r="H15" s="870"/>
      <c r="I15" s="870"/>
      <c r="J15" s="870"/>
      <c r="M15" s="502" t="s">
        <v>55</v>
      </c>
      <c r="N15" s="526">
        <f>Organisatsioon!B24</f>
        <v>2022</v>
      </c>
      <c r="O15" s="870"/>
      <c r="P15" s="870"/>
      <c r="Q15" s="870"/>
      <c r="R15" s="870"/>
      <c r="S15" s="870"/>
      <c r="T15" s="870"/>
      <c r="X15" s="502" t="s">
        <v>55</v>
      </c>
      <c r="Y15" s="526">
        <f>Organisatsioon!B25</f>
        <v>2023</v>
      </c>
      <c r="Z15" s="870"/>
      <c r="AA15" s="870"/>
      <c r="AB15" s="870"/>
      <c r="AC15" s="870"/>
      <c r="AD15" s="870"/>
    </row>
    <row r="16" spans="1:30" ht="15" customHeight="1" thickTop="1">
      <c r="L16" s="866"/>
      <c r="M16" s="866"/>
      <c r="N16" s="866"/>
      <c r="S16" s="866"/>
      <c r="T16" s="866"/>
      <c r="V16" s="866"/>
      <c r="W16" s="866"/>
      <c r="X16" s="866"/>
      <c r="Z16" s="866"/>
      <c r="AA16" s="866"/>
      <c r="AB16" s="866"/>
      <c r="AC16" s="866"/>
      <c r="AD16" s="866"/>
    </row>
    <row r="17" spans="2:33" ht="15" customHeight="1">
      <c r="B17" s="308" t="s">
        <v>2300</v>
      </c>
      <c r="C17" s="543"/>
      <c r="D17" s="543"/>
      <c r="E17" s="543"/>
      <c r="F17" s="543"/>
      <c r="G17" s="543"/>
      <c r="H17" s="543"/>
      <c r="I17" s="543"/>
      <c r="J17" s="543"/>
      <c r="K17" s="544"/>
      <c r="L17" s="881"/>
      <c r="M17" s="308" t="s">
        <v>2300</v>
      </c>
      <c r="N17" s="543"/>
      <c r="O17" s="543"/>
      <c r="P17" s="543"/>
      <c r="Q17" s="543"/>
      <c r="R17" s="543"/>
      <c r="S17" s="543"/>
      <c r="T17" s="543"/>
      <c r="U17" s="543"/>
      <c r="V17" s="544"/>
      <c r="W17" s="881"/>
      <c r="X17" s="308" t="s">
        <v>2300</v>
      </c>
      <c r="Y17" s="543"/>
      <c r="Z17" s="543"/>
      <c r="AA17" s="543"/>
      <c r="AB17" s="543"/>
      <c r="AC17" s="543"/>
      <c r="AD17" s="543"/>
      <c r="AE17" s="543"/>
      <c r="AF17" s="543"/>
      <c r="AG17" s="544"/>
    </row>
    <row r="18" spans="2:33" ht="15" customHeight="1">
      <c r="B18" s="925" t="s">
        <v>57</v>
      </c>
      <c r="C18" s="916" t="s">
        <v>2291</v>
      </c>
      <c r="D18" s="917"/>
      <c r="E18" s="571" t="s">
        <v>80</v>
      </c>
      <c r="F18" s="571" t="s">
        <v>2301</v>
      </c>
      <c r="G18" s="925" t="s">
        <v>126</v>
      </c>
      <c r="H18" s="914" t="s">
        <v>81</v>
      </c>
      <c r="I18" s="925" t="s">
        <v>127</v>
      </c>
      <c r="J18" s="895" t="s">
        <v>72</v>
      </c>
      <c r="K18" s="897"/>
      <c r="L18" s="881"/>
      <c r="M18" s="925" t="s">
        <v>57</v>
      </c>
      <c r="N18" s="916" t="s">
        <v>2291</v>
      </c>
      <c r="O18" s="917"/>
      <c r="P18" s="571" t="s">
        <v>80</v>
      </c>
      <c r="Q18" s="571" t="s">
        <v>2301</v>
      </c>
      <c r="R18" s="925" t="s">
        <v>126</v>
      </c>
      <c r="S18" s="914" t="s">
        <v>81</v>
      </c>
      <c r="T18" s="925" t="s">
        <v>127</v>
      </c>
      <c r="U18" s="895" t="s">
        <v>72</v>
      </c>
      <c r="V18" s="897"/>
      <c r="W18" s="881"/>
      <c r="X18" s="925" t="s">
        <v>57</v>
      </c>
      <c r="Y18" s="916" t="s">
        <v>2291</v>
      </c>
      <c r="Z18" s="917"/>
      <c r="AA18" s="571" t="s">
        <v>80</v>
      </c>
      <c r="AB18" s="571" t="s">
        <v>2301</v>
      </c>
      <c r="AC18" s="925" t="s">
        <v>126</v>
      </c>
      <c r="AD18" s="914" t="s">
        <v>81</v>
      </c>
      <c r="AE18" s="925" t="s">
        <v>127</v>
      </c>
      <c r="AF18" s="895" t="s">
        <v>72</v>
      </c>
      <c r="AG18" s="897"/>
    </row>
    <row r="19" spans="2:33" ht="15" customHeight="1">
      <c r="B19" s="927"/>
      <c r="C19" s="920"/>
      <c r="D19" s="921"/>
      <c r="E19" s="571" t="s">
        <v>2302</v>
      </c>
      <c r="F19" s="571" t="s">
        <v>485</v>
      </c>
      <c r="G19" s="927"/>
      <c r="H19" s="922"/>
      <c r="I19" s="927"/>
      <c r="J19" s="877" t="s">
        <v>2085</v>
      </c>
      <c r="K19" s="877" t="s">
        <v>2086</v>
      </c>
      <c r="L19" s="881"/>
      <c r="M19" s="927"/>
      <c r="N19" s="920"/>
      <c r="O19" s="921"/>
      <c r="P19" s="571" t="s">
        <v>2302</v>
      </c>
      <c r="Q19" s="571" t="s">
        <v>485</v>
      </c>
      <c r="R19" s="927"/>
      <c r="S19" s="922"/>
      <c r="T19" s="927"/>
      <c r="U19" s="877" t="s">
        <v>2085</v>
      </c>
      <c r="V19" s="877" t="s">
        <v>2086</v>
      </c>
      <c r="W19" s="881"/>
      <c r="X19" s="927"/>
      <c r="Y19" s="920"/>
      <c r="Z19" s="921"/>
      <c r="AA19" s="571" t="s">
        <v>2302</v>
      </c>
      <c r="AB19" s="571" t="s">
        <v>485</v>
      </c>
      <c r="AC19" s="927"/>
      <c r="AD19" s="922"/>
      <c r="AE19" s="927"/>
      <c r="AF19" s="877" t="s">
        <v>2085</v>
      </c>
      <c r="AG19" s="877" t="s">
        <v>2086</v>
      </c>
    </row>
    <row r="20" spans="2:33" ht="15" customHeight="1">
      <c r="B20" s="361">
        <v>1</v>
      </c>
      <c r="C20" s="964"/>
      <c r="D20" s="965"/>
      <c r="E20" s="882">
        <v>500</v>
      </c>
      <c r="F20" s="882"/>
      <c r="G20" s="372">
        <v>0.254</v>
      </c>
      <c r="H20" s="548" t="s">
        <v>1578</v>
      </c>
      <c r="I20" s="323"/>
      <c r="J20" s="549">
        <f>IF(E20&gt;0,E20*G20, IF(E20=0,F20*G20))</f>
        <v>127</v>
      </c>
      <c r="K20" s="549">
        <f>J20*0.001</f>
        <v>0.127</v>
      </c>
      <c r="L20" s="881"/>
      <c r="M20" s="361"/>
      <c r="N20" s="964"/>
      <c r="O20" s="965"/>
      <c r="P20" s="882"/>
      <c r="Q20" s="882"/>
      <c r="R20" s="372"/>
      <c r="S20" s="548"/>
      <c r="T20" s="323"/>
      <c r="U20" s="549">
        <f>IF(P20&gt;0,P20*R20, IF(P20=0,Q20*R20))</f>
        <v>0</v>
      </c>
      <c r="V20" s="549">
        <f>U20*0.001</f>
        <v>0</v>
      </c>
      <c r="W20" s="881"/>
      <c r="X20" s="361"/>
      <c r="Y20" s="964"/>
      <c r="Z20" s="965"/>
      <c r="AA20" s="882"/>
      <c r="AB20" s="882"/>
      <c r="AC20" s="372"/>
      <c r="AD20" s="548"/>
      <c r="AE20" s="323"/>
      <c r="AF20" s="549">
        <f>IF(AA20&gt;0,AA20*AC20, IF(AA20=0,AB20*AC20))</f>
        <v>0</v>
      </c>
      <c r="AG20" s="549">
        <f>AF20*0.001</f>
        <v>0</v>
      </c>
    </row>
    <row r="21" spans="2:33" ht="15" customHeight="1">
      <c r="B21" s="361">
        <v>2</v>
      </c>
      <c r="C21" s="964"/>
      <c r="D21" s="965"/>
      <c r="E21" s="882"/>
      <c r="F21" s="882">
        <v>800</v>
      </c>
      <c r="G21" s="372">
        <v>0.35399999999999998</v>
      </c>
      <c r="H21" s="548" t="s">
        <v>2337</v>
      </c>
      <c r="I21" s="323"/>
      <c r="J21" s="549">
        <f t="shared" ref="J21:J29" si="0">IF(E21&gt;0,E21*G21, IF(E21=0,F21*G21))</f>
        <v>283.2</v>
      </c>
      <c r="K21" s="549">
        <f t="shared" ref="K21:K29" si="1">J21*0.001</f>
        <v>0.28320000000000001</v>
      </c>
      <c r="L21" s="881"/>
      <c r="M21" s="361"/>
      <c r="N21" s="964"/>
      <c r="O21" s="965"/>
      <c r="P21" s="882"/>
      <c r="Q21" s="882"/>
      <c r="R21" s="372"/>
      <c r="S21" s="548"/>
      <c r="T21" s="323"/>
      <c r="U21" s="549">
        <f t="shared" ref="U21:U29" si="2">IF(P21&gt;0,P21*R21, IF(P21=0,Q21*R21))</f>
        <v>0</v>
      </c>
      <c r="V21" s="549">
        <f t="shared" ref="V21:V29" si="3">U21*0.001</f>
        <v>0</v>
      </c>
      <c r="W21" s="881"/>
      <c r="X21" s="361"/>
      <c r="Y21" s="964"/>
      <c r="Z21" s="965"/>
      <c r="AA21" s="882"/>
      <c r="AB21" s="882"/>
      <c r="AC21" s="372"/>
      <c r="AD21" s="548"/>
      <c r="AE21" s="323"/>
      <c r="AF21" s="549">
        <f t="shared" ref="AF21:AF29" si="4">IF(AA21&gt;0,AA21*AC21, IF(AA21=0,AB21*AC21))</f>
        <v>0</v>
      </c>
      <c r="AG21" s="549">
        <f t="shared" ref="AG21:AG29" si="5">AF21*0.001</f>
        <v>0</v>
      </c>
    </row>
    <row r="22" spans="2:33" ht="15" customHeight="1">
      <c r="B22" s="361"/>
      <c r="C22" s="964"/>
      <c r="D22" s="965"/>
      <c r="E22" s="882"/>
      <c r="F22" s="882"/>
      <c r="G22" s="372"/>
      <c r="H22" s="548"/>
      <c r="I22" s="323"/>
      <c r="J22" s="549">
        <f t="shared" si="0"/>
        <v>0</v>
      </c>
      <c r="K22" s="549">
        <f t="shared" si="1"/>
        <v>0</v>
      </c>
      <c r="L22" s="881"/>
      <c r="M22" s="361"/>
      <c r="N22" s="964"/>
      <c r="O22" s="965"/>
      <c r="P22" s="882"/>
      <c r="Q22" s="882"/>
      <c r="R22" s="372"/>
      <c r="S22" s="548"/>
      <c r="T22" s="323"/>
      <c r="U22" s="549">
        <f t="shared" si="2"/>
        <v>0</v>
      </c>
      <c r="V22" s="549">
        <f t="shared" si="3"/>
        <v>0</v>
      </c>
      <c r="W22" s="881"/>
      <c r="X22" s="361"/>
      <c r="Y22" s="964"/>
      <c r="Z22" s="965"/>
      <c r="AA22" s="882"/>
      <c r="AB22" s="882"/>
      <c r="AC22" s="372"/>
      <c r="AD22" s="548"/>
      <c r="AE22" s="323"/>
      <c r="AF22" s="549">
        <f t="shared" si="4"/>
        <v>0</v>
      </c>
      <c r="AG22" s="549">
        <f t="shared" si="5"/>
        <v>0</v>
      </c>
    </row>
    <row r="23" spans="2:33" ht="15" customHeight="1">
      <c r="B23" s="361"/>
      <c r="C23" s="964"/>
      <c r="D23" s="965"/>
      <c r="E23" s="882"/>
      <c r="F23" s="882"/>
      <c r="G23" s="372"/>
      <c r="H23" s="548"/>
      <c r="I23" s="323"/>
      <c r="J23" s="549">
        <f t="shared" si="0"/>
        <v>0</v>
      </c>
      <c r="K23" s="549">
        <f t="shared" si="1"/>
        <v>0</v>
      </c>
      <c r="L23" s="881"/>
      <c r="M23" s="361"/>
      <c r="N23" s="964"/>
      <c r="O23" s="965"/>
      <c r="P23" s="882"/>
      <c r="Q23" s="882"/>
      <c r="R23" s="372"/>
      <c r="S23" s="548"/>
      <c r="T23" s="323"/>
      <c r="U23" s="549">
        <f t="shared" si="2"/>
        <v>0</v>
      </c>
      <c r="V23" s="549">
        <f t="shared" si="3"/>
        <v>0</v>
      </c>
      <c r="W23" s="881"/>
      <c r="X23" s="361"/>
      <c r="Y23" s="964"/>
      <c r="Z23" s="965"/>
      <c r="AA23" s="882"/>
      <c r="AB23" s="882"/>
      <c r="AC23" s="372"/>
      <c r="AD23" s="548"/>
      <c r="AE23" s="323"/>
      <c r="AF23" s="549">
        <f t="shared" si="4"/>
        <v>0</v>
      </c>
      <c r="AG23" s="549">
        <f t="shared" si="5"/>
        <v>0</v>
      </c>
    </row>
    <row r="24" spans="2:33" ht="15" customHeight="1">
      <c r="B24" s="361"/>
      <c r="C24" s="964"/>
      <c r="D24" s="965"/>
      <c r="E24" s="882"/>
      <c r="F24" s="882"/>
      <c r="G24" s="372"/>
      <c r="H24" s="548"/>
      <c r="I24" s="323"/>
      <c r="J24" s="549">
        <f t="shared" si="0"/>
        <v>0</v>
      </c>
      <c r="K24" s="549">
        <f t="shared" si="1"/>
        <v>0</v>
      </c>
      <c r="L24" s="881"/>
      <c r="M24" s="361"/>
      <c r="N24" s="964"/>
      <c r="O24" s="965"/>
      <c r="P24" s="882"/>
      <c r="Q24" s="882"/>
      <c r="R24" s="372"/>
      <c r="S24" s="548"/>
      <c r="T24" s="323"/>
      <c r="U24" s="549">
        <f t="shared" si="2"/>
        <v>0</v>
      </c>
      <c r="V24" s="549">
        <f t="shared" si="3"/>
        <v>0</v>
      </c>
      <c r="W24" s="881"/>
      <c r="X24" s="361"/>
      <c r="Y24" s="964"/>
      <c r="Z24" s="965"/>
      <c r="AA24" s="882"/>
      <c r="AB24" s="882"/>
      <c r="AC24" s="372"/>
      <c r="AD24" s="548"/>
      <c r="AE24" s="323"/>
      <c r="AF24" s="549">
        <f t="shared" si="4"/>
        <v>0</v>
      </c>
      <c r="AG24" s="549">
        <f t="shared" si="5"/>
        <v>0</v>
      </c>
    </row>
    <row r="25" spans="2:33" ht="15" customHeight="1">
      <c r="B25" s="361"/>
      <c r="C25" s="964"/>
      <c r="D25" s="965"/>
      <c r="E25" s="882"/>
      <c r="F25" s="882"/>
      <c r="G25" s="372"/>
      <c r="H25" s="548"/>
      <c r="I25" s="323"/>
      <c r="J25" s="549">
        <f t="shared" si="0"/>
        <v>0</v>
      </c>
      <c r="K25" s="549">
        <f t="shared" si="1"/>
        <v>0</v>
      </c>
      <c r="L25" s="881"/>
      <c r="M25" s="361"/>
      <c r="N25" s="964"/>
      <c r="O25" s="965"/>
      <c r="P25" s="882"/>
      <c r="Q25" s="882"/>
      <c r="R25" s="372"/>
      <c r="S25" s="548"/>
      <c r="T25" s="323"/>
      <c r="U25" s="549">
        <f t="shared" si="2"/>
        <v>0</v>
      </c>
      <c r="V25" s="549">
        <f t="shared" si="3"/>
        <v>0</v>
      </c>
      <c r="W25" s="881"/>
      <c r="X25" s="361"/>
      <c r="Y25" s="964"/>
      <c r="Z25" s="965"/>
      <c r="AA25" s="882"/>
      <c r="AB25" s="882"/>
      <c r="AC25" s="372"/>
      <c r="AD25" s="548"/>
      <c r="AE25" s="323"/>
      <c r="AF25" s="549">
        <f t="shared" si="4"/>
        <v>0</v>
      </c>
      <c r="AG25" s="549">
        <f t="shared" si="5"/>
        <v>0</v>
      </c>
    </row>
    <row r="26" spans="2:33" ht="15" customHeight="1">
      <c r="B26" s="361"/>
      <c r="C26" s="964"/>
      <c r="D26" s="965"/>
      <c r="E26" s="882"/>
      <c r="F26" s="882"/>
      <c r="G26" s="372"/>
      <c r="H26" s="548"/>
      <c r="I26" s="323"/>
      <c r="J26" s="549">
        <f t="shared" si="0"/>
        <v>0</v>
      </c>
      <c r="K26" s="549">
        <f t="shared" si="1"/>
        <v>0</v>
      </c>
      <c r="L26" s="881"/>
      <c r="M26" s="361"/>
      <c r="N26" s="964"/>
      <c r="O26" s="965"/>
      <c r="P26" s="882"/>
      <c r="Q26" s="882"/>
      <c r="R26" s="372"/>
      <c r="S26" s="548"/>
      <c r="T26" s="323"/>
      <c r="U26" s="549">
        <f t="shared" si="2"/>
        <v>0</v>
      </c>
      <c r="V26" s="549">
        <f t="shared" si="3"/>
        <v>0</v>
      </c>
      <c r="W26" s="881"/>
      <c r="X26" s="361"/>
      <c r="Y26" s="964"/>
      <c r="Z26" s="965"/>
      <c r="AA26" s="882"/>
      <c r="AB26" s="882"/>
      <c r="AC26" s="372"/>
      <c r="AD26" s="548"/>
      <c r="AE26" s="323"/>
      <c r="AF26" s="549">
        <f t="shared" si="4"/>
        <v>0</v>
      </c>
      <c r="AG26" s="549">
        <f t="shared" si="5"/>
        <v>0</v>
      </c>
    </row>
    <row r="27" spans="2:33" ht="15" customHeight="1">
      <c r="B27" s="361"/>
      <c r="C27" s="964"/>
      <c r="D27" s="965"/>
      <c r="E27" s="882"/>
      <c r="F27" s="882"/>
      <c r="G27" s="372"/>
      <c r="H27" s="548"/>
      <c r="I27" s="323"/>
      <c r="J27" s="549">
        <f t="shared" si="0"/>
        <v>0</v>
      </c>
      <c r="K27" s="549">
        <f t="shared" si="1"/>
        <v>0</v>
      </c>
      <c r="L27" s="881"/>
      <c r="M27" s="361"/>
      <c r="N27" s="964"/>
      <c r="O27" s="965"/>
      <c r="P27" s="882"/>
      <c r="Q27" s="882"/>
      <c r="R27" s="372"/>
      <c r="S27" s="548"/>
      <c r="T27" s="323"/>
      <c r="U27" s="549">
        <f t="shared" si="2"/>
        <v>0</v>
      </c>
      <c r="V27" s="549">
        <f t="shared" si="3"/>
        <v>0</v>
      </c>
      <c r="W27" s="881"/>
      <c r="X27" s="361"/>
      <c r="Y27" s="964"/>
      <c r="Z27" s="965"/>
      <c r="AA27" s="882"/>
      <c r="AB27" s="882"/>
      <c r="AC27" s="372"/>
      <c r="AD27" s="548"/>
      <c r="AE27" s="323"/>
      <c r="AF27" s="549">
        <f t="shared" si="4"/>
        <v>0</v>
      </c>
      <c r="AG27" s="549">
        <f t="shared" si="5"/>
        <v>0</v>
      </c>
    </row>
    <row r="28" spans="2:33" ht="15" customHeight="1">
      <c r="B28" s="361"/>
      <c r="C28" s="964"/>
      <c r="D28" s="965"/>
      <c r="E28" s="882"/>
      <c r="F28" s="882"/>
      <c r="G28" s="372"/>
      <c r="H28" s="548"/>
      <c r="I28" s="323"/>
      <c r="J28" s="549">
        <f t="shared" si="0"/>
        <v>0</v>
      </c>
      <c r="K28" s="549">
        <f t="shared" si="1"/>
        <v>0</v>
      </c>
      <c r="L28" s="881"/>
      <c r="M28" s="361"/>
      <c r="N28" s="964"/>
      <c r="O28" s="965"/>
      <c r="P28" s="882"/>
      <c r="Q28" s="882"/>
      <c r="R28" s="372"/>
      <c r="S28" s="548"/>
      <c r="T28" s="323"/>
      <c r="U28" s="549">
        <f t="shared" si="2"/>
        <v>0</v>
      </c>
      <c r="V28" s="549">
        <f t="shared" si="3"/>
        <v>0</v>
      </c>
      <c r="W28" s="881"/>
      <c r="X28" s="361"/>
      <c r="Y28" s="964"/>
      <c r="Z28" s="965"/>
      <c r="AA28" s="882"/>
      <c r="AB28" s="882"/>
      <c r="AC28" s="372"/>
      <c r="AD28" s="548"/>
      <c r="AE28" s="323"/>
      <c r="AF28" s="549">
        <f t="shared" si="4"/>
        <v>0</v>
      </c>
      <c r="AG28" s="549">
        <f t="shared" si="5"/>
        <v>0</v>
      </c>
    </row>
    <row r="29" spans="2:33" ht="15" customHeight="1" thickBot="1">
      <c r="B29" s="361"/>
      <c r="C29" s="964"/>
      <c r="D29" s="965"/>
      <c r="E29" s="882"/>
      <c r="F29" s="882"/>
      <c r="G29" s="372"/>
      <c r="H29" s="548"/>
      <c r="I29" s="323"/>
      <c r="J29" s="549">
        <f t="shared" si="0"/>
        <v>0</v>
      </c>
      <c r="K29" s="549">
        <f t="shared" si="1"/>
        <v>0</v>
      </c>
      <c r="L29" s="881"/>
      <c r="M29" s="361"/>
      <c r="N29" s="964"/>
      <c r="O29" s="965"/>
      <c r="P29" s="882"/>
      <c r="Q29" s="882"/>
      <c r="R29" s="372"/>
      <c r="S29" s="548"/>
      <c r="T29" s="323"/>
      <c r="U29" s="549">
        <f t="shared" si="2"/>
        <v>0</v>
      </c>
      <c r="V29" s="549">
        <f t="shared" si="3"/>
        <v>0</v>
      </c>
      <c r="W29" s="881"/>
      <c r="X29" s="361"/>
      <c r="Y29" s="964"/>
      <c r="Z29" s="965"/>
      <c r="AA29" s="882"/>
      <c r="AB29" s="882"/>
      <c r="AC29" s="372"/>
      <c r="AD29" s="548"/>
      <c r="AE29" s="323"/>
      <c r="AF29" s="549">
        <f t="shared" si="4"/>
        <v>0</v>
      </c>
      <c r="AG29" s="549">
        <f t="shared" si="5"/>
        <v>0</v>
      </c>
    </row>
    <row r="30" spans="2:33" ht="15" customHeight="1" thickTop="1" thickBot="1">
      <c r="B30" s="874"/>
      <c r="C30" s="878"/>
      <c r="D30" s="878"/>
      <c r="E30" s="878"/>
      <c r="F30" s="878"/>
      <c r="G30" s="878"/>
      <c r="H30" s="878"/>
      <c r="I30" s="879" t="s">
        <v>1592</v>
      </c>
      <c r="J30" s="534">
        <f>SUM(J20:J29)</f>
        <v>410.2</v>
      </c>
      <c r="K30" s="534">
        <f>SUM(K20:K29)</f>
        <v>0.41020000000000001</v>
      </c>
      <c r="L30" s="881"/>
      <c r="M30" s="874"/>
      <c r="N30" s="878"/>
      <c r="O30" s="878"/>
      <c r="P30" s="878"/>
      <c r="Q30" s="878"/>
      <c r="R30" s="878"/>
      <c r="S30" s="878"/>
      <c r="T30" s="879" t="s">
        <v>1592</v>
      </c>
      <c r="U30" s="534">
        <f>SUM(U20:U29)</f>
        <v>0</v>
      </c>
      <c r="V30" s="534">
        <f>SUM(V20:V29)</f>
        <v>0</v>
      </c>
      <c r="W30" s="881"/>
      <c r="X30" s="874"/>
      <c r="Y30" s="878"/>
      <c r="Z30" s="878"/>
      <c r="AA30" s="878"/>
      <c r="AB30" s="878"/>
      <c r="AC30" s="878"/>
      <c r="AD30" s="878"/>
      <c r="AE30" s="879" t="s">
        <v>1592</v>
      </c>
      <c r="AF30" s="534">
        <f>SUM(AF20:AF29)</f>
        <v>0</v>
      </c>
      <c r="AG30" s="534">
        <f>SUM(AG20:AG29)</f>
        <v>0</v>
      </c>
    </row>
    <row r="31" spans="2:33" ht="15" customHeight="1" thickTop="1">
      <c r="B31" s="881"/>
      <c r="C31" s="881"/>
      <c r="D31" s="881"/>
      <c r="E31" s="881"/>
      <c r="F31" s="881"/>
      <c r="G31" s="881"/>
      <c r="H31" s="881"/>
      <c r="I31" s="881"/>
      <c r="J31" s="881"/>
      <c r="K31" s="881"/>
      <c r="L31" s="881"/>
      <c r="M31" s="881"/>
      <c r="N31" s="881"/>
      <c r="O31" s="881"/>
      <c r="P31" s="881"/>
      <c r="Q31" s="881"/>
      <c r="R31" s="881"/>
      <c r="S31" s="881"/>
      <c r="T31" s="881"/>
      <c r="U31" s="881"/>
      <c r="V31" s="881"/>
      <c r="W31" s="881"/>
      <c r="X31" s="881"/>
      <c r="Y31" s="881"/>
      <c r="Z31" s="881"/>
      <c r="AA31" s="881"/>
      <c r="AB31" s="881"/>
      <c r="AC31" s="881"/>
      <c r="AD31" s="881"/>
      <c r="AE31" s="881"/>
      <c r="AF31" s="881"/>
      <c r="AG31" s="881"/>
    </row>
    <row r="32" spans="2:33" ht="15" customHeight="1">
      <c r="B32" s="881"/>
      <c r="C32" s="881"/>
      <c r="D32" s="881"/>
      <c r="E32" s="881"/>
      <c r="F32" s="881"/>
      <c r="G32" s="881"/>
      <c r="H32" s="881"/>
      <c r="I32" s="881"/>
      <c r="J32" s="881"/>
      <c r="K32" s="881"/>
      <c r="L32" s="881"/>
      <c r="M32" s="881"/>
      <c r="N32" s="881"/>
      <c r="O32" s="881"/>
      <c r="P32" s="881"/>
      <c r="Q32" s="881"/>
      <c r="R32" s="881"/>
      <c r="S32" s="881"/>
      <c r="T32" s="881"/>
      <c r="U32" s="881"/>
      <c r="V32" s="881"/>
      <c r="W32" s="881"/>
      <c r="X32" s="881"/>
      <c r="Y32" s="881"/>
      <c r="Z32" s="881"/>
      <c r="AA32" s="881"/>
      <c r="AB32" s="881"/>
      <c r="AC32" s="881"/>
      <c r="AD32" s="881"/>
      <c r="AE32" s="881"/>
      <c r="AF32" s="881"/>
      <c r="AG32" s="881"/>
    </row>
    <row r="33" spans="2:33" ht="15" customHeight="1">
      <c r="B33" s="308" t="s">
        <v>2304</v>
      </c>
      <c r="C33" s="543"/>
      <c r="D33" s="543"/>
      <c r="E33" s="543"/>
      <c r="F33" s="543"/>
      <c r="G33" s="543"/>
      <c r="H33" s="543"/>
      <c r="I33" s="543"/>
      <c r="J33" s="543"/>
      <c r="K33" s="544"/>
      <c r="L33" s="881"/>
      <c r="M33" s="308" t="s">
        <v>2304</v>
      </c>
      <c r="N33" s="543"/>
      <c r="O33" s="543"/>
      <c r="P33" s="543"/>
      <c r="Q33" s="543"/>
      <c r="R33" s="543"/>
      <c r="S33" s="543"/>
      <c r="T33" s="543"/>
      <c r="U33" s="543"/>
      <c r="V33" s="544"/>
      <c r="W33" s="881"/>
      <c r="X33" s="308" t="s">
        <v>2304</v>
      </c>
      <c r="Y33" s="543"/>
      <c r="Z33" s="543"/>
      <c r="AA33" s="543"/>
      <c r="AB33" s="543"/>
      <c r="AC33" s="543"/>
      <c r="AD33" s="543"/>
      <c r="AE33" s="543"/>
      <c r="AF33" s="543"/>
      <c r="AG33" s="544"/>
    </row>
    <row r="34" spans="2:33" ht="15" customHeight="1">
      <c r="B34" s="925" t="s">
        <v>57</v>
      </c>
      <c r="C34" s="916" t="s">
        <v>2291</v>
      </c>
      <c r="D34" s="917"/>
      <c r="E34" s="914" t="s">
        <v>2305</v>
      </c>
      <c r="F34" s="571" t="s">
        <v>81</v>
      </c>
      <c r="G34" s="925" t="s">
        <v>126</v>
      </c>
      <c r="H34" s="914" t="s">
        <v>81</v>
      </c>
      <c r="I34" s="925" t="s">
        <v>127</v>
      </c>
      <c r="J34" s="895" t="s">
        <v>72</v>
      </c>
      <c r="K34" s="897"/>
      <c r="L34" s="881"/>
      <c r="M34" s="925" t="s">
        <v>57</v>
      </c>
      <c r="N34" s="916" t="s">
        <v>2291</v>
      </c>
      <c r="O34" s="917"/>
      <c r="P34" s="914" t="s">
        <v>2305</v>
      </c>
      <c r="Q34" s="571" t="s">
        <v>81</v>
      </c>
      <c r="R34" s="925" t="s">
        <v>126</v>
      </c>
      <c r="S34" s="914" t="s">
        <v>81</v>
      </c>
      <c r="T34" s="925" t="s">
        <v>127</v>
      </c>
      <c r="U34" s="895" t="s">
        <v>72</v>
      </c>
      <c r="V34" s="897"/>
      <c r="W34" s="881"/>
      <c r="X34" s="925" t="s">
        <v>57</v>
      </c>
      <c r="Y34" s="916" t="s">
        <v>2291</v>
      </c>
      <c r="Z34" s="917"/>
      <c r="AA34" s="914" t="s">
        <v>2305</v>
      </c>
      <c r="AB34" s="571" t="s">
        <v>81</v>
      </c>
      <c r="AC34" s="925" t="s">
        <v>126</v>
      </c>
      <c r="AD34" s="914" t="s">
        <v>81</v>
      </c>
      <c r="AE34" s="925" t="s">
        <v>127</v>
      </c>
      <c r="AF34" s="895" t="s">
        <v>72</v>
      </c>
      <c r="AG34" s="897"/>
    </row>
    <row r="35" spans="2:33" ht="15" customHeight="1">
      <c r="B35" s="927"/>
      <c r="C35" s="920"/>
      <c r="D35" s="921"/>
      <c r="E35" s="922"/>
      <c r="F35" s="571" t="s">
        <v>2306</v>
      </c>
      <c r="G35" s="927"/>
      <c r="H35" s="922"/>
      <c r="I35" s="927"/>
      <c r="J35" s="877" t="s">
        <v>2085</v>
      </c>
      <c r="K35" s="877" t="s">
        <v>2086</v>
      </c>
      <c r="L35" s="881"/>
      <c r="M35" s="927"/>
      <c r="N35" s="920"/>
      <c r="O35" s="921"/>
      <c r="P35" s="922"/>
      <c r="Q35" s="571" t="s">
        <v>2306</v>
      </c>
      <c r="R35" s="927"/>
      <c r="S35" s="922"/>
      <c r="T35" s="927"/>
      <c r="U35" s="877" t="s">
        <v>2085</v>
      </c>
      <c r="V35" s="877" t="s">
        <v>2086</v>
      </c>
      <c r="W35" s="881"/>
      <c r="X35" s="927"/>
      <c r="Y35" s="920"/>
      <c r="Z35" s="921"/>
      <c r="AA35" s="922"/>
      <c r="AB35" s="571" t="s">
        <v>2306</v>
      </c>
      <c r="AC35" s="927"/>
      <c r="AD35" s="922"/>
      <c r="AE35" s="927"/>
      <c r="AF35" s="877" t="s">
        <v>2085</v>
      </c>
      <c r="AG35" s="877" t="s">
        <v>2086</v>
      </c>
    </row>
    <row r="36" spans="2:33" ht="15" customHeight="1">
      <c r="B36" s="361">
        <v>3</v>
      </c>
      <c r="C36" s="964"/>
      <c r="D36" s="965"/>
      <c r="E36" s="883">
        <v>500</v>
      </c>
      <c r="F36" s="548" t="s">
        <v>2307</v>
      </c>
      <c r="G36" s="547">
        <v>0.877</v>
      </c>
      <c r="H36" s="548" t="s">
        <v>2026</v>
      </c>
      <c r="I36" s="323"/>
      <c r="J36" s="528">
        <f>E36*G36</f>
        <v>438.5</v>
      </c>
      <c r="K36" s="549">
        <f>J36*0.001</f>
        <v>0.4385</v>
      </c>
      <c r="L36" s="881"/>
      <c r="M36" s="361"/>
      <c r="N36" s="964"/>
      <c r="O36" s="965"/>
      <c r="P36" s="883"/>
      <c r="Q36" s="548"/>
      <c r="R36" s="547"/>
      <c r="S36" s="548"/>
      <c r="T36" s="323"/>
      <c r="U36" s="528">
        <f>P36*R36</f>
        <v>0</v>
      </c>
      <c r="V36" s="549">
        <f>U36*0.001</f>
        <v>0</v>
      </c>
      <c r="W36" s="881"/>
      <c r="X36" s="361"/>
      <c r="Y36" s="964"/>
      <c r="Z36" s="965"/>
      <c r="AA36" s="883"/>
      <c r="AB36" s="548"/>
      <c r="AC36" s="547"/>
      <c r="AD36" s="548"/>
      <c r="AE36" s="323"/>
      <c r="AF36" s="528">
        <f>AA36*AC36</f>
        <v>0</v>
      </c>
      <c r="AG36" s="549">
        <f>AF36*0.001</f>
        <v>0</v>
      </c>
    </row>
    <row r="37" spans="2:33" ht="15" customHeight="1">
      <c r="B37" s="361"/>
      <c r="C37" s="964"/>
      <c r="D37" s="965"/>
      <c r="E37" s="883"/>
      <c r="F37" s="548"/>
      <c r="G37" s="547"/>
      <c r="H37" s="548"/>
      <c r="I37" s="323"/>
      <c r="J37" s="528">
        <f t="shared" ref="J37:J45" si="6">E37*G37</f>
        <v>0</v>
      </c>
      <c r="K37" s="549">
        <f t="shared" ref="K37:K45" si="7">J37*0.001</f>
        <v>0</v>
      </c>
      <c r="L37" s="881"/>
      <c r="M37" s="361"/>
      <c r="N37" s="964"/>
      <c r="O37" s="965"/>
      <c r="P37" s="883"/>
      <c r="Q37" s="548"/>
      <c r="R37" s="547"/>
      <c r="S37" s="548"/>
      <c r="T37" s="323"/>
      <c r="U37" s="528">
        <f t="shared" ref="U37:U45" si="8">P37*R37</f>
        <v>0</v>
      </c>
      <c r="V37" s="549">
        <f t="shared" ref="V37:V45" si="9">U37*0.001</f>
        <v>0</v>
      </c>
      <c r="W37" s="881"/>
      <c r="X37" s="361"/>
      <c r="Y37" s="964"/>
      <c r="Z37" s="965"/>
      <c r="AA37" s="883"/>
      <c r="AB37" s="548"/>
      <c r="AC37" s="547"/>
      <c r="AD37" s="548"/>
      <c r="AE37" s="323"/>
      <c r="AF37" s="528">
        <f t="shared" ref="AF37:AF45" si="10">AA37*AC37</f>
        <v>0</v>
      </c>
      <c r="AG37" s="549">
        <f t="shared" ref="AG37:AG45" si="11">AF37*0.001</f>
        <v>0</v>
      </c>
    </row>
    <row r="38" spans="2:33" ht="15" customHeight="1">
      <c r="B38" s="361"/>
      <c r="C38" s="964"/>
      <c r="D38" s="965"/>
      <c r="E38" s="883"/>
      <c r="F38" s="548"/>
      <c r="G38" s="547"/>
      <c r="H38" s="548"/>
      <c r="I38" s="323"/>
      <c r="J38" s="528">
        <f t="shared" si="6"/>
        <v>0</v>
      </c>
      <c r="K38" s="549">
        <f t="shared" si="7"/>
        <v>0</v>
      </c>
      <c r="L38" s="881"/>
      <c r="M38" s="361"/>
      <c r="N38" s="964"/>
      <c r="O38" s="965"/>
      <c r="P38" s="883"/>
      <c r="Q38" s="548"/>
      <c r="R38" s="547"/>
      <c r="S38" s="548"/>
      <c r="T38" s="323"/>
      <c r="U38" s="528">
        <f t="shared" si="8"/>
        <v>0</v>
      </c>
      <c r="V38" s="549">
        <f t="shared" si="9"/>
        <v>0</v>
      </c>
      <c r="W38" s="881"/>
      <c r="X38" s="361"/>
      <c r="Y38" s="964"/>
      <c r="Z38" s="965"/>
      <c r="AA38" s="883"/>
      <c r="AB38" s="548"/>
      <c r="AC38" s="547"/>
      <c r="AD38" s="548"/>
      <c r="AE38" s="323"/>
      <c r="AF38" s="528">
        <f t="shared" si="10"/>
        <v>0</v>
      </c>
      <c r="AG38" s="549">
        <f t="shared" si="11"/>
        <v>0</v>
      </c>
    </row>
    <row r="39" spans="2:33" ht="15" customHeight="1">
      <c r="B39" s="361"/>
      <c r="C39" s="964"/>
      <c r="D39" s="965"/>
      <c r="E39" s="883"/>
      <c r="F39" s="548"/>
      <c r="G39" s="547"/>
      <c r="H39" s="548"/>
      <c r="I39" s="323"/>
      <c r="J39" s="528">
        <f t="shared" si="6"/>
        <v>0</v>
      </c>
      <c r="K39" s="549">
        <f t="shared" si="7"/>
        <v>0</v>
      </c>
      <c r="L39" s="881"/>
      <c r="M39" s="361"/>
      <c r="N39" s="964"/>
      <c r="O39" s="965"/>
      <c r="P39" s="883"/>
      <c r="Q39" s="548"/>
      <c r="R39" s="547"/>
      <c r="S39" s="548"/>
      <c r="T39" s="323"/>
      <c r="U39" s="528">
        <f t="shared" si="8"/>
        <v>0</v>
      </c>
      <c r="V39" s="549">
        <f t="shared" si="9"/>
        <v>0</v>
      </c>
      <c r="W39" s="881"/>
      <c r="X39" s="361"/>
      <c r="Y39" s="964"/>
      <c r="Z39" s="965"/>
      <c r="AA39" s="883"/>
      <c r="AB39" s="548"/>
      <c r="AC39" s="547"/>
      <c r="AD39" s="548"/>
      <c r="AE39" s="323"/>
      <c r="AF39" s="528">
        <f t="shared" si="10"/>
        <v>0</v>
      </c>
      <c r="AG39" s="549">
        <f t="shared" si="11"/>
        <v>0</v>
      </c>
    </row>
    <row r="40" spans="2:33" ht="15" customHeight="1">
      <c r="B40" s="361"/>
      <c r="C40" s="964"/>
      <c r="D40" s="965"/>
      <c r="E40" s="883"/>
      <c r="F40" s="548"/>
      <c r="G40" s="547"/>
      <c r="H40" s="548"/>
      <c r="I40" s="323"/>
      <c r="J40" s="528">
        <f t="shared" si="6"/>
        <v>0</v>
      </c>
      <c r="K40" s="549">
        <f t="shared" si="7"/>
        <v>0</v>
      </c>
      <c r="L40" s="881"/>
      <c r="M40" s="361"/>
      <c r="N40" s="964"/>
      <c r="O40" s="965"/>
      <c r="P40" s="883"/>
      <c r="Q40" s="548"/>
      <c r="R40" s="547"/>
      <c r="S40" s="548"/>
      <c r="T40" s="323"/>
      <c r="U40" s="528">
        <f t="shared" si="8"/>
        <v>0</v>
      </c>
      <c r="V40" s="549">
        <f t="shared" si="9"/>
        <v>0</v>
      </c>
      <c r="W40" s="881"/>
      <c r="X40" s="361"/>
      <c r="Y40" s="964"/>
      <c r="Z40" s="965"/>
      <c r="AA40" s="883"/>
      <c r="AB40" s="548"/>
      <c r="AC40" s="547"/>
      <c r="AD40" s="548"/>
      <c r="AE40" s="323"/>
      <c r="AF40" s="528">
        <f t="shared" si="10"/>
        <v>0</v>
      </c>
      <c r="AG40" s="549">
        <f t="shared" si="11"/>
        <v>0</v>
      </c>
    </row>
    <row r="41" spans="2:33" ht="15" customHeight="1">
      <c r="B41" s="361"/>
      <c r="C41" s="964"/>
      <c r="D41" s="965"/>
      <c r="E41" s="883"/>
      <c r="F41" s="548"/>
      <c r="G41" s="547"/>
      <c r="H41" s="548"/>
      <c r="I41" s="323"/>
      <c r="J41" s="528">
        <f t="shared" si="6"/>
        <v>0</v>
      </c>
      <c r="K41" s="549">
        <f t="shared" si="7"/>
        <v>0</v>
      </c>
      <c r="L41" s="881"/>
      <c r="M41" s="361"/>
      <c r="N41" s="964"/>
      <c r="O41" s="965"/>
      <c r="P41" s="883"/>
      <c r="Q41" s="548"/>
      <c r="R41" s="547"/>
      <c r="S41" s="548"/>
      <c r="T41" s="323"/>
      <c r="U41" s="528">
        <f t="shared" si="8"/>
        <v>0</v>
      </c>
      <c r="V41" s="549">
        <f t="shared" si="9"/>
        <v>0</v>
      </c>
      <c r="W41" s="881"/>
      <c r="X41" s="361"/>
      <c r="Y41" s="964"/>
      <c r="Z41" s="965"/>
      <c r="AA41" s="883"/>
      <c r="AB41" s="548"/>
      <c r="AC41" s="547"/>
      <c r="AD41" s="548"/>
      <c r="AE41" s="323"/>
      <c r="AF41" s="528">
        <f t="shared" si="10"/>
        <v>0</v>
      </c>
      <c r="AG41" s="549">
        <f t="shared" si="11"/>
        <v>0</v>
      </c>
    </row>
    <row r="42" spans="2:33" ht="15" customHeight="1">
      <c r="B42" s="361"/>
      <c r="C42" s="964"/>
      <c r="D42" s="965"/>
      <c r="E42" s="883"/>
      <c r="F42" s="548"/>
      <c r="G42" s="547"/>
      <c r="H42" s="548"/>
      <c r="I42" s="323"/>
      <c r="J42" s="528">
        <f t="shared" si="6"/>
        <v>0</v>
      </c>
      <c r="K42" s="549">
        <f t="shared" si="7"/>
        <v>0</v>
      </c>
      <c r="L42" s="881"/>
      <c r="M42" s="361"/>
      <c r="N42" s="964"/>
      <c r="O42" s="965"/>
      <c r="P42" s="883"/>
      <c r="Q42" s="548"/>
      <c r="R42" s="547"/>
      <c r="S42" s="548"/>
      <c r="T42" s="323"/>
      <c r="U42" s="528">
        <f t="shared" si="8"/>
        <v>0</v>
      </c>
      <c r="V42" s="549">
        <f t="shared" si="9"/>
        <v>0</v>
      </c>
      <c r="W42" s="881"/>
      <c r="X42" s="361"/>
      <c r="Y42" s="964"/>
      <c r="Z42" s="965"/>
      <c r="AA42" s="883"/>
      <c r="AB42" s="548"/>
      <c r="AC42" s="547"/>
      <c r="AD42" s="548"/>
      <c r="AE42" s="323"/>
      <c r="AF42" s="528">
        <f t="shared" si="10"/>
        <v>0</v>
      </c>
      <c r="AG42" s="549">
        <f t="shared" si="11"/>
        <v>0</v>
      </c>
    </row>
    <row r="43" spans="2:33" ht="15" customHeight="1">
      <c r="B43" s="361"/>
      <c r="C43" s="964"/>
      <c r="D43" s="965"/>
      <c r="E43" s="883"/>
      <c r="F43" s="548"/>
      <c r="G43" s="547"/>
      <c r="H43" s="548"/>
      <c r="I43" s="323"/>
      <c r="J43" s="528">
        <f t="shared" si="6"/>
        <v>0</v>
      </c>
      <c r="K43" s="549">
        <f t="shared" si="7"/>
        <v>0</v>
      </c>
      <c r="L43" s="881"/>
      <c r="M43" s="361"/>
      <c r="N43" s="964"/>
      <c r="O43" s="965"/>
      <c r="P43" s="883"/>
      <c r="Q43" s="548"/>
      <c r="R43" s="547"/>
      <c r="S43" s="548"/>
      <c r="T43" s="323"/>
      <c r="U43" s="528">
        <f t="shared" si="8"/>
        <v>0</v>
      </c>
      <c r="V43" s="549">
        <f t="shared" si="9"/>
        <v>0</v>
      </c>
      <c r="W43" s="881"/>
      <c r="X43" s="361"/>
      <c r="Y43" s="964"/>
      <c r="Z43" s="965"/>
      <c r="AA43" s="883"/>
      <c r="AB43" s="548"/>
      <c r="AC43" s="547"/>
      <c r="AD43" s="548"/>
      <c r="AE43" s="323"/>
      <c r="AF43" s="528">
        <f t="shared" si="10"/>
        <v>0</v>
      </c>
      <c r="AG43" s="549">
        <f t="shared" si="11"/>
        <v>0</v>
      </c>
    </row>
    <row r="44" spans="2:33" ht="15" customHeight="1">
      <c r="B44" s="361"/>
      <c r="C44" s="964"/>
      <c r="D44" s="965"/>
      <c r="E44" s="883"/>
      <c r="F44" s="548"/>
      <c r="G44" s="547"/>
      <c r="H44" s="548"/>
      <c r="I44" s="323"/>
      <c r="J44" s="528">
        <f t="shared" si="6"/>
        <v>0</v>
      </c>
      <c r="K44" s="549">
        <f t="shared" si="7"/>
        <v>0</v>
      </c>
      <c r="L44" s="881"/>
      <c r="M44" s="361"/>
      <c r="N44" s="964"/>
      <c r="O44" s="965"/>
      <c r="P44" s="883"/>
      <c r="Q44" s="548"/>
      <c r="R44" s="547"/>
      <c r="S44" s="548"/>
      <c r="T44" s="323"/>
      <c r="U44" s="528">
        <f t="shared" si="8"/>
        <v>0</v>
      </c>
      <c r="V44" s="549">
        <f t="shared" si="9"/>
        <v>0</v>
      </c>
      <c r="W44" s="881"/>
      <c r="X44" s="361"/>
      <c r="Y44" s="964"/>
      <c r="Z44" s="965"/>
      <c r="AA44" s="883"/>
      <c r="AB44" s="548"/>
      <c r="AC44" s="547"/>
      <c r="AD44" s="548"/>
      <c r="AE44" s="323"/>
      <c r="AF44" s="528">
        <f t="shared" si="10"/>
        <v>0</v>
      </c>
      <c r="AG44" s="549">
        <f t="shared" si="11"/>
        <v>0</v>
      </c>
    </row>
    <row r="45" spans="2:33" ht="15" customHeight="1" thickBot="1">
      <c r="B45" s="361"/>
      <c r="C45" s="964"/>
      <c r="D45" s="965"/>
      <c r="E45" s="883"/>
      <c r="F45" s="548"/>
      <c r="G45" s="547"/>
      <c r="H45" s="548"/>
      <c r="I45" s="323"/>
      <c r="J45" s="528">
        <f t="shared" si="6"/>
        <v>0</v>
      </c>
      <c r="K45" s="549">
        <f t="shared" si="7"/>
        <v>0</v>
      </c>
      <c r="L45" s="881"/>
      <c r="M45" s="361"/>
      <c r="N45" s="964"/>
      <c r="O45" s="965"/>
      <c r="P45" s="883"/>
      <c r="Q45" s="548"/>
      <c r="R45" s="547"/>
      <c r="S45" s="548"/>
      <c r="T45" s="323"/>
      <c r="U45" s="528">
        <f t="shared" si="8"/>
        <v>0</v>
      </c>
      <c r="V45" s="549">
        <f t="shared" si="9"/>
        <v>0</v>
      </c>
      <c r="W45" s="881"/>
      <c r="X45" s="361"/>
      <c r="Y45" s="964"/>
      <c r="Z45" s="965"/>
      <c r="AA45" s="883"/>
      <c r="AB45" s="548"/>
      <c r="AC45" s="547"/>
      <c r="AD45" s="548"/>
      <c r="AE45" s="323"/>
      <c r="AF45" s="528">
        <f t="shared" si="10"/>
        <v>0</v>
      </c>
      <c r="AG45" s="549">
        <f t="shared" si="11"/>
        <v>0</v>
      </c>
    </row>
    <row r="46" spans="2:33" ht="15" customHeight="1" thickTop="1" thickBot="1">
      <c r="B46" s="874"/>
      <c r="C46" s="878"/>
      <c r="D46" s="878"/>
      <c r="E46" s="878"/>
      <c r="F46" s="878"/>
      <c r="G46" s="878"/>
      <c r="H46" s="878"/>
      <c r="I46" s="879" t="s">
        <v>1592</v>
      </c>
      <c r="J46" s="534">
        <f>SUM(J36:J45)</f>
        <v>438.5</v>
      </c>
      <c r="K46" s="534">
        <f>SUM(K36:K45)</f>
        <v>0.4385</v>
      </c>
      <c r="L46" s="881"/>
      <c r="M46" s="874"/>
      <c r="N46" s="878"/>
      <c r="O46" s="878"/>
      <c r="P46" s="878"/>
      <c r="Q46" s="878"/>
      <c r="R46" s="878"/>
      <c r="S46" s="878"/>
      <c r="T46" s="879" t="s">
        <v>1592</v>
      </c>
      <c r="U46" s="534">
        <f>SUM(U36:U45)</f>
        <v>0</v>
      </c>
      <c r="V46" s="534">
        <f>SUM(V36:V45)</f>
        <v>0</v>
      </c>
      <c r="W46" s="881"/>
      <c r="X46" s="874"/>
      <c r="Y46" s="878"/>
      <c r="Z46" s="878"/>
      <c r="AA46" s="878"/>
      <c r="AB46" s="878"/>
      <c r="AC46" s="878"/>
      <c r="AD46" s="878"/>
      <c r="AE46" s="879" t="s">
        <v>1592</v>
      </c>
      <c r="AF46" s="534">
        <f>SUM(AF36:AF45)</f>
        <v>0</v>
      </c>
      <c r="AG46" s="534">
        <f>SUM(AG36:AG45)</f>
        <v>0</v>
      </c>
    </row>
    <row r="47" spans="2:33" ht="15" customHeight="1" thickTop="1">
      <c r="B47" s="881"/>
      <c r="C47" s="881"/>
      <c r="D47" s="881"/>
      <c r="E47" s="881"/>
      <c r="F47" s="881"/>
      <c r="G47" s="881"/>
      <c r="H47" s="881"/>
      <c r="I47" s="881"/>
      <c r="J47" s="881"/>
      <c r="K47" s="881"/>
      <c r="L47" s="881"/>
      <c r="M47" s="881"/>
      <c r="N47" s="881"/>
      <c r="O47" s="881"/>
      <c r="P47" s="881"/>
      <c r="Q47" s="881"/>
      <c r="R47" s="881"/>
      <c r="S47" s="881"/>
      <c r="T47" s="881"/>
      <c r="U47" s="881"/>
      <c r="V47" s="881"/>
      <c r="W47" s="881"/>
      <c r="X47" s="881"/>
      <c r="Y47" s="881"/>
      <c r="Z47" s="881"/>
      <c r="AA47" s="881"/>
      <c r="AB47" s="881"/>
      <c r="AC47" s="881"/>
      <c r="AD47" s="881"/>
      <c r="AE47" s="881"/>
      <c r="AF47" s="881"/>
      <c r="AG47" s="881"/>
    </row>
    <row r="48" spans="2:33" ht="15" customHeight="1">
      <c r="B48" s="881"/>
      <c r="C48" s="881"/>
      <c r="D48" s="881"/>
      <c r="E48" s="881"/>
      <c r="F48" s="881"/>
      <c r="G48" s="881"/>
      <c r="H48" s="881"/>
      <c r="I48" s="881"/>
      <c r="J48" s="881"/>
      <c r="K48" s="881"/>
      <c r="L48" s="881"/>
      <c r="M48" s="881"/>
      <c r="N48" s="881"/>
      <c r="O48" s="881"/>
      <c r="P48" s="881"/>
      <c r="Q48" s="881"/>
      <c r="R48" s="881"/>
      <c r="S48" s="881"/>
      <c r="T48" s="881"/>
      <c r="U48" s="881"/>
      <c r="V48" s="881"/>
      <c r="W48" s="881"/>
      <c r="X48" s="881"/>
      <c r="Y48" s="881"/>
      <c r="Z48" s="881"/>
      <c r="AA48" s="881"/>
      <c r="AB48" s="881"/>
      <c r="AC48" s="881"/>
      <c r="AD48" s="881"/>
      <c r="AE48" s="881"/>
      <c r="AF48" s="881"/>
      <c r="AG48" s="881"/>
    </row>
    <row r="49" spans="2:33" ht="15" customHeight="1">
      <c r="B49" s="308" t="s">
        <v>2308</v>
      </c>
      <c r="C49" s="543"/>
      <c r="D49" s="543"/>
      <c r="E49" s="543"/>
      <c r="F49" s="543"/>
      <c r="G49" s="543"/>
      <c r="H49" s="543"/>
      <c r="I49" s="543"/>
      <c r="J49" s="543"/>
      <c r="K49" s="544"/>
      <c r="L49" s="881"/>
      <c r="M49" s="308" t="s">
        <v>2308</v>
      </c>
      <c r="N49" s="543"/>
      <c r="O49" s="543"/>
      <c r="P49" s="543"/>
      <c r="Q49" s="543"/>
      <c r="R49" s="543"/>
      <c r="S49" s="543"/>
      <c r="T49" s="543"/>
      <c r="U49" s="543"/>
      <c r="V49" s="544"/>
      <c r="W49" s="881"/>
      <c r="X49" s="308" t="s">
        <v>2308</v>
      </c>
      <c r="Y49" s="543"/>
      <c r="Z49" s="543"/>
      <c r="AA49" s="543"/>
      <c r="AB49" s="543"/>
      <c r="AC49" s="543"/>
      <c r="AD49" s="543"/>
      <c r="AE49" s="543"/>
      <c r="AF49" s="543"/>
      <c r="AG49" s="544"/>
    </row>
    <row r="50" spans="2:33" ht="15" customHeight="1">
      <c r="B50" s="925" t="s">
        <v>57</v>
      </c>
      <c r="C50" s="916" t="s">
        <v>2291</v>
      </c>
      <c r="D50" s="917"/>
      <c r="E50" s="914" t="s">
        <v>2309</v>
      </c>
      <c r="F50" s="571" t="s">
        <v>81</v>
      </c>
      <c r="G50" s="925" t="s">
        <v>126</v>
      </c>
      <c r="H50" s="914" t="s">
        <v>81</v>
      </c>
      <c r="I50" s="925" t="s">
        <v>127</v>
      </c>
      <c r="J50" s="895" t="s">
        <v>72</v>
      </c>
      <c r="K50" s="897"/>
      <c r="L50" s="881"/>
      <c r="M50" s="925" t="s">
        <v>57</v>
      </c>
      <c r="N50" s="916" t="s">
        <v>2291</v>
      </c>
      <c r="O50" s="917"/>
      <c r="P50" s="914" t="s">
        <v>2309</v>
      </c>
      <c r="Q50" s="571" t="s">
        <v>81</v>
      </c>
      <c r="R50" s="925" t="s">
        <v>126</v>
      </c>
      <c r="S50" s="914" t="s">
        <v>81</v>
      </c>
      <c r="T50" s="925" t="s">
        <v>127</v>
      </c>
      <c r="U50" s="895" t="s">
        <v>72</v>
      </c>
      <c r="V50" s="897"/>
      <c r="W50" s="881"/>
      <c r="X50" s="925" t="s">
        <v>57</v>
      </c>
      <c r="Y50" s="916" t="s">
        <v>2291</v>
      </c>
      <c r="Z50" s="917"/>
      <c r="AA50" s="914" t="s">
        <v>2309</v>
      </c>
      <c r="AB50" s="571" t="s">
        <v>81</v>
      </c>
      <c r="AC50" s="925" t="s">
        <v>126</v>
      </c>
      <c r="AD50" s="914" t="s">
        <v>81</v>
      </c>
      <c r="AE50" s="925" t="s">
        <v>127</v>
      </c>
      <c r="AF50" s="895" t="s">
        <v>72</v>
      </c>
      <c r="AG50" s="897"/>
    </row>
    <row r="51" spans="2:33" ht="15" customHeight="1">
      <c r="B51" s="927"/>
      <c r="C51" s="920"/>
      <c r="D51" s="921"/>
      <c r="E51" s="922"/>
      <c r="F51" s="571" t="s">
        <v>2310</v>
      </c>
      <c r="G51" s="927"/>
      <c r="H51" s="922"/>
      <c r="I51" s="927"/>
      <c r="J51" s="877" t="s">
        <v>2085</v>
      </c>
      <c r="K51" s="877" t="s">
        <v>2086</v>
      </c>
      <c r="L51" s="881"/>
      <c r="M51" s="927"/>
      <c r="N51" s="920"/>
      <c r="O51" s="921"/>
      <c r="P51" s="922"/>
      <c r="Q51" s="571" t="s">
        <v>2310</v>
      </c>
      <c r="R51" s="927"/>
      <c r="S51" s="922"/>
      <c r="T51" s="927"/>
      <c r="U51" s="877" t="s">
        <v>2085</v>
      </c>
      <c r="V51" s="877" t="s">
        <v>2086</v>
      </c>
      <c r="W51" s="881"/>
      <c r="X51" s="927"/>
      <c r="Y51" s="920"/>
      <c r="Z51" s="921"/>
      <c r="AA51" s="922"/>
      <c r="AB51" s="571" t="s">
        <v>2310</v>
      </c>
      <c r="AC51" s="927"/>
      <c r="AD51" s="922"/>
      <c r="AE51" s="927"/>
      <c r="AF51" s="877" t="s">
        <v>2085</v>
      </c>
      <c r="AG51" s="877" t="s">
        <v>2086</v>
      </c>
    </row>
    <row r="52" spans="2:33" ht="15" customHeight="1">
      <c r="B52" s="361">
        <v>1</v>
      </c>
      <c r="C52" s="964"/>
      <c r="D52" s="965"/>
      <c r="E52" s="883">
        <v>1000</v>
      </c>
      <c r="F52" s="548" t="s">
        <v>2311</v>
      </c>
      <c r="G52" s="547">
        <v>0.997</v>
      </c>
      <c r="H52" s="548" t="s">
        <v>2338</v>
      </c>
      <c r="I52" s="323"/>
      <c r="J52" s="528">
        <f>E52*G52</f>
        <v>997</v>
      </c>
      <c r="K52" s="549">
        <f>J52*0.001</f>
        <v>0.997</v>
      </c>
      <c r="L52" s="881"/>
      <c r="M52" s="361"/>
      <c r="N52" s="964"/>
      <c r="O52" s="965"/>
      <c r="P52" s="880"/>
      <c r="Q52" s="548"/>
      <c r="R52" s="323"/>
      <c r="S52" s="548"/>
      <c r="T52" s="323"/>
      <c r="U52" s="528">
        <f>P52*R52</f>
        <v>0</v>
      </c>
      <c r="V52" s="549">
        <f>U52*0.001</f>
        <v>0</v>
      </c>
      <c r="W52" s="881"/>
      <c r="X52" s="361"/>
      <c r="Y52" s="964"/>
      <c r="Z52" s="965"/>
      <c r="AA52" s="880"/>
      <c r="AB52" s="548"/>
      <c r="AC52" s="323"/>
      <c r="AD52" s="548"/>
      <c r="AE52" s="323"/>
      <c r="AF52" s="528">
        <f>AA52*AC52</f>
        <v>0</v>
      </c>
      <c r="AG52" s="549">
        <f>AF52*0.001</f>
        <v>0</v>
      </c>
    </row>
    <row r="53" spans="2:33" ht="15" customHeight="1">
      <c r="B53" s="361"/>
      <c r="C53" s="964"/>
      <c r="D53" s="965"/>
      <c r="E53" s="883"/>
      <c r="F53" s="548"/>
      <c r="G53" s="547"/>
      <c r="H53" s="548"/>
      <c r="I53" s="323"/>
      <c r="J53" s="528">
        <f t="shared" ref="J53:J61" si="12">E53*G53</f>
        <v>0</v>
      </c>
      <c r="K53" s="549">
        <f t="shared" ref="K53:K61" si="13">J53*0.001</f>
        <v>0</v>
      </c>
      <c r="L53" s="881"/>
      <c r="M53" s="361"/>
      <c r="N53" s="964"/>
      <c r="O53" s="965"/>
      <c r="P53" s="880"/>
      <c r="Q53" s="548"/>
      <c r="R53" s="323"/>
      <c r="S53" s="548"/>
      <c r="T53" s="323"/>
      <c r="U53" s="528">
        <f t="shared" ref="U53:U61" si="14">P53*R53</f>
        <v>0</v>
      </c>
      <c r="V53" s="549">
        <f t="shared" ref="V53:V61" si="15">U53*0.001</f>
        <v>0</v>
      </c>
      <c r="W53" s="881"/>
      <c r="X53" s="361"/>
      <c r="Y53" s="964"/>
      <c r="Z53" s="965"/>
      <c r="AA53" s="880"/>
      <c r="AB53" s="548"/>
      <c r="AC53" s="323"/>
      <c r="AD53" s="548"/>
      <c r="AE53" s="323"/>
      <c r="AF53" s="528">
        <f t="shared" ref="AF53:AF61" si="16">AA53*AC53</f>
        <v>0</v>
      </c>
      <c r="AG53" s="549">
        <f t="shared" ref="AG53:AG61" si="17">AF53*0.001</f>
        <v>0</v>
      </c>
    </row>
    <row r="54" spans="2:33" ht="15" customHeight="1">
      <c r="B54" s="361"/>
      <c r="C54" s="964"/>
      <c r="D54" s="965"/>
      <c r="E54" s="883"/>
      <c r="F54" s="548"/>
      <c r="G54" s="547"/>
      <c r="H54" s="548"/>
      <c r="I54" s="323"/>
      <c r="J54" s="528">
        <f t="shared" si="12"/>
        <v>0</v>
      </c>
      <c r="K54" s="549">
        <f t="shared" si="13"/>
        <v>0</v>
      </c>
      <c r="L54" s="881"/>
      <c r="M54" s="361"/>
      <c r="N54" s="964"/>
      <c r="O54" s="965"/>
      <c r="P54" s="880"/>
      <c r="Q54" s="548"/>
      <c r="R54" s="323"/>
      <c r="S54" s="548"/>
      <c r="T54" s="323"/>
      <c r="U54" s="528">
        <f t="shared" si="14"/>
        <v>0</v>
      </c>
      <c r="V54" s="549">
        <f t="shared" si="15"/>
        <v>0</v>
      </c>
      <c r="W54" s="881"/>
      <c r="X54" s="361"/>
      <c r="Y54" s="964"/>
      <c r="Z54" s="965"/>
      <c r="AA54" s="880"/>
      <c r="AB54" s="548"/>
      <c r="AC54" s="323"/>
      <c r="AD54" s="548"/>
      <c r="AE54" s="323"/>
      <c r="AF54" s="528">
        <f t="shared" si="16"/>
        <v>0</v>
      </c>
      <c r="AG54" s="549">
        <f t="shared" si="17"/>
        <v>0</v>
      </c>
    </row>
    <row r="55" spans="2:33" ht="15" customHeight="1">
      <c r="B55" s="361"/>
      <c r="C55" s="964"/>
      <c r="D55" s="965"/>
      <c r="E55" s="883"/>
      <c r="F55" s="548"/>
      <c r="G55" s="547"/>
      <c r="H55" s="548"/>
      <c r="I55" s="323"/>
      <c r="J55" s="528">
        <f t="shared" si="12"/>
        <v>0</v>
      </c>
      <c r="K55" s="549">
        <f t="shared" si="13"/>
        <v>0</v>
      </c>
      <c r="L55" s="881"/>
      <c r="M55" s="361"/>
      <c r="N55" s="964"/>
      <c r="O55" s="965"/>
      <c r="P55" s="880"/>
      <c r="Q55" s="548"/>
      <c r="R55" s="323"/>
      <c r="S55" s="548"/>
      <c r="T55" s="323"/>
      <c r="U55" s="528">
        <f t="shared" si="14"/>
        <v>0</v>
      </c>
      <c r="V55" s="549">
        <f t="shared" si="15"/>
        <v>0</v>
      </c>
      <c r="W55" s="881"/>
      <c r="X55" s="361"/>
      <c r="Y55" s="964"/>
      <c r="Z55" s="965"/>
      <c r="AA55" s="880"/>
      <c r="AB55" s="548"/>
      <c r="AC55" s="323"/>
      <c r="AD55" s="548"/>
      <c r="AE55" s="323"/>
      <c r="AF55" s="528">
        <f t="shared" si="16"/>
        <v>0</v>
      </c>
      <c r="AG55" s="549">
        <f t="shared" si="17"/>
        <v>0</v>
      </c>
    </row>
    <row r="56" spans="2:33" ht="15" customHeight="1">
      <c r="B56" s="361"/>
      <c r="C56" s="964"/>
      <c r="D56" s="965"/>
      <c r="E56" s="883"/>
      <c r="F56" s="548"/>
      <c r="G56" s="547"/>
      <c r="H56" s="548"/>
      <c r="I56" s="323"/>
      <c r="J56" s="528">
        <f t="shared" si="12"/>
        <v>0</v>
      </c>
      <c r="K56" s="549">
        <f t="shared" si="13"/>
        <v>0</v>
      </c>
      <c r="L56" s="881"/>
      <c r="M56" s="361"/>
      <c r="N56" s="964"/>
      <c r="O56" s="965"/>
      <c r="P56" s="880"/>
      <c r="Q56" s="548"/>
      <c r="R56" s="323"/>
      <c r="S56" s="548"/>
      <c r="T56" s="323"/>
      <c r="U56" s="528">
        <f t="shared" si="14"/>
        <v>0</v>
      </c>
      <c r="V56" s="549">
        <f t="shared" si="15"/>
        <v>0</v>
      </c>
      <c r="W56" s="881"/>
      <c r="X56" s="361"/>
      <c r="Y56" s="964"/>
      <c r="Z56" s="965"/>
      <c r="AA56" s="880"/>
      <c r="AB56" s="548"/>
      <c r="AC56" s="323"/>
      <c r="AD56" s="548"/>
      <c r="AE56" s="323"/>
      <c r="AF56" s="528">
        <f t="shared" si="16"/>
        <v>0</v>
      </c>
      <c r="AG56" s="549">
        <f t="shared" si="17"/>
        <v>0</v>
      </c>
    </row>
    <row r="57" spans="2:33" ht="15" customHeight="1">
      <c r="B57" s="361"/>
      <c r="C57" s="964"/>
      <c r="D57" s="965"/>
      <c r="E57" s="883"/>
      <c r="F57" s="548"/>
      <c r="G57" s="547"/>
      <c r="H57" s="548"/>
      <c r="I57" s="323"/>
      <c r="J57" s="528">
        <f t="shared" si="12"/>
        <v>0</v>
      </c>
      <c r="K57" s="549">
        <f t="shared" si="13"/>
        <v>0</v>
      </c>
      <c r="L57" s="881"/>
      <c r="M57" s="361"/>
      <c r="N57" s="964"/>
      <c r="O57" s="965"/>
      <c r="P57" s="880"/>
      <c r="Q57" s="548"/>
      <c r="R57" s="323"/>
      <c r="S57" s="548"/>
      <c r="T57" s="323"/>
      <c r="U57" s="528">
        <f t="shared" si="14"/>
        <v>0</v>
      </c>
      <c r="V57" s="549">
        <f t="shared" si="15"/>
        <v>0</v>
      </c>
      <c r="W57" s="881"/>
      <c r="X57" s="361"/>
      <c r="Y57" s="964"/>
      <c r="Z57" s="965"/>
      <c r="AA57" s="880"/>
      <c r="AB57" s="548"/>
      <c r="AC57" s="323"/>
      <c r="AD57" s="548"/>
      <c r="AE57" s="323"/>
      <c r="AF57" s="528">
        <f t="shared" si="16"/>
        <v>0</v>
      </c>
      <c r="AG57" s="549">
        <f t="shared" si="17"/>
        <v>0</v>
      </c>
    </row>
    <row r="58" spans="2:33" ht="15" customHeight="1">
      <c r="B58" s="361"/>
      <c r="C58" s="964"/>
      <c r="D58" s="965"/>
      <c r="E58" s="883"/>
      <c r="F58" s="548"/>
      <c r="G58" s="547"/>
      <c r="H58" s="548"/>
      <c r="I58" s="323"/>
      <c r="J58" s="528">
        <f t="shared" si="12"/>
        <v>0</v>
      </c>
      <c r="K58" s="549">
        <f t="shared" si="13"/>
        <v>0</v>
      </c>
      <c r="L58" s="881"/>
      <c r="M58" s="361"/>
      <c r="N58" s="964"/>
      <c r="O58" s="965"/>
      <c r="P58" s="880"/>
      <c r="Q58" s="548"/>
      <c r="R58" s="323"/>
      <c r="S58" s="548"/>
      <c r="T58" s="323"/>
      <c r="U58" s="528">
        <f t="shared" si="14"/>
        <v>0</v>
      </c>
      <c r="V58" s="549">
        <f t="shared" si="15"/>
        <v>0</v>
      </c>
      <c r="W58" s="881"/>
      <c r="X58" s="361"/>
      <c r="Y58" s="964"/>
      <c r="Z58" s="965"/>
      <c r="AA58" s="880"/>
      <c r="AB58" s="548"/>
      <c r="AC58" s="323"/>
      <c r="AD58" s="548"/>
      <c r="AE58" s="323"/>
      <c r="AF58" s="528">
        <f t="shared" si="16"/>
        <v>0</v>
      </c>
      <c r="AG58" s="549">
        <f t="shared" si="17"/>
        <v>0</v>
      </c>
    </row>
    <row r="59" spans="2:33" ht="15" customHeight="1">
      <c r="B59" s="361"/>
      <c r="C59" s="964"/>
      <c r="D59" s="965"/>
      <c r="E59" s="883"/>
      <c r="F59" s="548"/>
      <c r="G59" s="547"/>
      <c r="H59" s="548"/>
      <c r="I59" s="323"/>
      <c r="J59" s="528">
        <f t="shared" si="12"/>
        <v>0</v>
      </c>
      <c r="K59" s="549">
        <f t="shared" si="13"/>
        <v>0</v>
      </c>
      <c r="L59" s="881"/>
      <c r="M59" s="361"/>
      <c r="N59" s="964"/>
      <c r="O59" s="965"/>
      <c r="P59" s="880"/>
      <c r="Q59" s="548"/>
      <c r="R59" s="323"/>
      <c r="S59" s="548"/>
      <c r="T59" s="323"/>
      <c r="U59" s="528">
        <f t="shared" si="14"/>
        <v>0</v>
      </c>
      <c r="V59" s="549">
        <f t="shared" si="15"/>
        <v>0</v>
      </c>
      <c r="W59" s="881"/>
      <c r="X59" s="361"/>
      <c r="Y59" s="964"/>
      <c r="Z59" s="965"/>
      <c r="AA59" s="880"/>
      <c r="AB59" s="548"/>
      <c r="AC59" s="323"/>
      <c r="AD59" s="548"/>
      <c r="AE59" s="323"/>
      <c r="AF59" s="528">
        <f t="shared" si="16"/>
        <v>0</v>
      </c>
      <c r="AG59" s="549">
        <f t="shared" si="17"/>
        <v>0</v>
      </c>
    </row>
    <row r="60" spans="2:33" ht="15" customHeight="1">
      <c r="B60" s="361"/>
      <c r="C60" s="964"/>
      <c r="D60" s="965"/>
      <c r="E60" s="883"/>
      <c r="F60" s="548"/>
      <c r="G60" s="547"/>
      <c r="H60" s="548"/>
      <c r="I60" s="323"/>
      <c r="J60" s="528">
        <f t="shared" si="12"/>
        <v>0</v>
      </c>
      <c r="K60" s="549">
        <f t="shared" si="13"/>
        <v>0</v>
      </c>
      <c r="L60" s="881"/>
      <c r="M60" s="361"/>
      <c r="N60" s="964"/>
      <c r="O60" s="965"/>
      <c r="P60" s="880"/>
      <c r="Q60" s="548"/>
      <c r="R60" s="323"/>
      <c r="S60" s="548"/>
      <c r="T60" s="323"/>
      <c r="U60" s="528">
        <f t="shared" si="14"/>
        <v>0</v>
      </c>
      <c r="V60" s="549">
        <f t="shared" si="15"/>
        <v>0</v>
      </c>
      <c r="W60" s="881"/>
      <c r="X60" s="361"/>
      <c r="Y60" s="964"/>
      <c r="Z60" s="965"/>
      <c r="AA60" s="880"/>
      <c r="AB60" s="548"/>
      <c r="AC60" s="323"/>
      <c r="AD60" s="548"/>
      <c r="AE60" s="323"/>
      <c r="AF60" s="528">
        <f t="shared" si="16"/>
        <v>0</v>
      </c>
      <c r="AG60" s="549">
        <f t="shared" si="17"/>
        <v>0</v>
      </c>
    </row>
    <row r="61" spans="2:33" ht="15" customHeight="1" thickBot="1">
      <c r="B61" s="361"/>
      <c r="C61" s="964"/>
      <c r="D61" s="965"/>
      <c r="E61" s="883"/>
      <c r="F61" s="548"/>
      <c r="G61" s="547"/>
      <c r="H61" s="548"/>
      <c r="I61" s="323"/>
      <c r="J61" s="528">
        <f t="shared" si="12"/>
        <v>0</v>
      </c>
      <c r="K61" s="549">
        <f t="shared" si="13"/>
        <v>0</v>
      </c>
      <c r="L61" s="881"/>
      <c r="M61" s="361"/>
      <c r="N61" s="964"/>
      <c r="O61" s="965"/>
      <c r="P61" s="880"/>
      <c r="Q61" s="548"/>
      <c r="R61" s="323"/>
      <c r="S61" s="548"/>
      <c r="T61" s="323"/>
      <c r="U61" s="528">
        <f t="shared" si="14"/>
        <v>0</v>
      </c>
      <c r="V61" s="549">
        <f t="shared" si="15"/>
        <v>0</v>
      </c>
      <c r="W61" s="881"/>
      <c r="X61" s="361"/>
      <c r="Y61" s="964"/>
      <c r="Z61" s="965"/>
      <c r="AA61" s="880"/>
      <c r="AB61" s="548"/>
      <c r="AC61" s="323"/>
      <c r="AD61" s="548"/>
      <c r="AE61" s="323"/>
      <c r="AF61" s="528">
        <f t="shared" si="16"/>
        <v>0</v>
      </c>
      <c r="AG61" s="549">
        <f t="shared" si="17"/>
        <v>0</v>
      </c>
    </row>
    <row r="62" spans="2:33" ht="15" customHeight="1" thickTop="1" thickBot="1">
      <c r="B62" s="874"/>
      <c r="C62" s="878"/>
      <c r="D62" s="878"/>
      <c r="E62" s="878"/>
      <c r="F62" s="878"/>
      <c r="G62" s="878"/>
      <c r="H62" s="878"/>
      <c r="I62" s="879" t="s">
        <v>1592</v>
      </c>
      <c r="J62" s="534">
        <f>SUM(J52:J61)</f>
        <v>997</v>
      </c>
      <c r="K62" s="534">
        <f>SUM(K52:K61)</f>
        <v>0.997</v>
      </c>
      <c r="L62" s="881"/>
      <c r="M62" s="874"/>
      <c r="N62" s="878"/>
      <c r="O62" s="878"/>
      <c r="P62" s="878"/>
      <c r="Q62" s="878"/>
      <c r="R62" s="878"/>
      <c r="S62" s="878"/>
      <c r="T62" s="879" t="s">
        <v>1592</v>
      </c>
      <c r="U62" s="534">
        <f>SUM(U52:U61)</f>
        <v>0</v>
      </c>
      <c r="V62" s="534">
        <f>SUM(V52:V61)</f>
        <v>0</v>
      </c>
      <c r="W62" s="881"/>
      <c r="X62" s="874"/>
      <c r="Y62" s="878"/>
      <c r="Z62" s="878"/>
      <c r="AA62" s="878"/>
      <c r="AB62" s="878"/>
      <c r="AC62" s="878"/>
      <c r="AD62" s="878"/>
      <c r="AE62" s="879" t="s">
        <v>1592</v>
      </c>
      <c r="AF62" s="534">
        <f>SUM(AF52:AF61)</f>
        <v>0</v>
      </c>
      <c r="AG62" s="534">
        <f>SUM(AG52:AG61)</f>
        <v>0</v>
      </c>
    </row>
    <row r="63" spans="2:33" ht="15" customHeight="1" thickTop="1" thickBot="1">
      <c r="B63" s="881"/>
      <c r="C63" s="881"/>
      <c r="D63" s="881"/>
      <c r="E63" s="881"/>
      <c r="F63" s="881"/>
      <c r="G63" s="881"/>
      <c r="H63" s="881"/>
      <c r="I63" s="881"/>
      <c r="J63" s="881"/>
      <c r="K63" s="881"/>
      <c r="L63" s="881"/>
      <c r="M63" s="881"/>
      <c r="N63" s="881"/>
      <c r="O63" s="881"/>
      <c r="P63" s="881"/>
      <c r="Q63" s="881"/>
      <c r="R63" s="881"/>
      <c r="S63" s="881"/>
      <c r="T63" s="881"/>
      <c r="U63" s="881"/>
      <c r="V63" s="881"/>
      <c r="W63" s="881"/>
      <c r="X63" s="881"/>
      <c r="Y63" s="881"/>
      <c r="Z63" s="881"/>
      <c r="AA63" s="881"/>
      <c r="AB63" s="881"/>
      <c r="AC63" s="881"/>
      <c r="AD63" s="881"/>
      <c r="AE63" s="881"/>
      <c r="AF63" s="881"/>
      <c r="AG63" s="881"/>
    </row>
    <row r="64" spans="2:33" ht="15" customHeight="1" thickTop="1" thickBot="1">
      <c r="B64" s="934" t="s">
        <v>2312</v>
      </c>
      <c r="C64" s="932"/>
      <c r="D64" s="932"/>
      <c r="E64" s="932"/>
      <c r="F64" s="932"/>
      <c r="G64" s="932"/>
      <c r="H64" s="932"/>
      <c r="I64" s="933"/>
      <c r="J64" s="672">
        <f>SUMIF(J20:J29,"&lt;&gt;#N/A")+SUMIF(J36:J45,"&lt;&gt;#N/A")+SUMIF(J52:J61,""&lt;&gt;#N/A)</f>
        <v>848.7</v>
      </c>
      <c r="K64" s="672">
        <f>SUMIF(K20:K29,"&lt;&gt;#N/A")+SUMIF(K36:K45,"&lt;&gt;#N/A")+SUMIF(K52:K61,""&lt;&gt;#N/A)</f>
        <v>0.84870000000000001</v>
      </c>
      <c r="L64" s="297"/>
      <c r="M64" s="934" t="s">
        <v>2312</v>
      </c>
      <c r="N64" s="932"/>
      <c r="O64" s="932"/>
      <c r="P64" s="932"/>
      <c r="Q64" s="932"/>
      <c r="R64" s="932"/>
      <c r="S64" s="932"/>
      <c r="T64" s="933"/>
      <c r="U64" s="672">
        <f>SUMIF(U20:U29,"&lt;&gt;#N/A")+SUMIF(U36:U45,"&lt;&gt;#N/A")+SUMIF(U52:U61,""&lt;&gt;#N/A)</f>
        <v>0</v>
      </c>
      <c r="V64" s="672">
        <f>SUMIF(V20:V29,"&lt;&gt;#N/A")+SUMIF(V36:V45,"&lt;&gt;#N/A")+SUMIF(V52:V61,""&lt;&gt;#N/A)</f>
        <v>0</v>
      </c>
      <c r="W64" s="881"/>
      <c r="X64" s="934" t="s">
        <v>2312</v>
      </c>
      <c r="Y64" s="932"/>
      <c r="Z64" s="932"/>
      <c r="AA64" s="932"/>
      <c r="AB64" s="932"/>
      <c r="AC64" s="932"/>
      <c r="AD64" s="932"/>
      <c r="AE64" s="933"/>
      <c r="AF64" s="672">
        <f>SUMIF(AF20:AF29,"&lt;&gt;#N/A")+SUMIF(AF36:AF45,"&lt;&gt;#N/A")+SUMIF(AF52:AF61,""&lt;&gt;#N/A)</f>
        <v>0</v>
      </c>
      <c r="AG64" s="672">
        <f>SUMIF(AG20:AG29,"&lt;&gt;#N/A")+SUMIF(AG36:AG45,"&lt;&gt;#N/A")+SUMIF(AG52:AG61,""&lt;&gt;#N/A)</f>
        <v>0</v>
      </c>
    </row>
    <row r="65" spans="2:33" ht="15" customHeight="1" thickTop="1">
      <c r="B65" s="875"/>
      <c r="C65" s="881"/>
      <c r="D65" s="881"/>
      <c r="E65" s="881"/>
      <c r="F65" s="881"/>
      <c r="G65" s="881"/>
      <c r="H65" s="881"/>
      <c r="I65" s="881"/>
      <c r="J65" s="881"/>
      <c r="K65" s="876"/>
      <c r="L65" s="881"/>
      <c r="M65" s="875"/>
      <c r="N65" s="881"/>
      <c r="O65" s="881"/>
      <c r="P65" s="881"/>
      <c r="Q65" s="881"/>
      <c r="R65" s="881"/>
      <c r="S65" s="881"/>
      <c r="T65" s="881"/>
      <c r="U65" s="881"/>
      <c r="V65" s="876"/>
      <c r="W65" s="881"/>
      <c r="X65" s="875"/>
      <c r="Y65" s="881"/>
      <c r="Z65" s="881"/>
      <c r="AA65" s="881"/>
      <c r="AB65" s="881"/>
      <c r="AC65" s="881"/>
      <c r="AD65" s="881"/>
      <c r="AE65" s="881"/>
      <c r="AF65" s="881"/>
      <c r="AG65" s="876"/>
    </row>
    <row r="66" spans="2:33" ht="15" customHeight="1">
      <c r="B66" s="536"/>
      <c r="C66" s="537"/>
      <c r="D66" s="537"/>
      <c r="E66" s="537"/>
      <c r="F66" s="537"/>
      <c r="G66" s="537"/>
      <c r="H66" s="537"/>
      <c r="I66" s="538" t="s">
        <v>1575</v>
      </c>
      <c r="J66" s="539">
        <f>SUMIF(B20:B29,1,J20:J29)+SUMIF(B36:B45,1,J36:J45)+SUMIF(B52:B61,1,J52:J61)</f>
        <v>1124</v>
      </c>
      <c r="K66" s="540">
        <f>J66*0.001</f>
        <v>1.1240000000000001</v>
      </c>
      <c r="L66" s="881"/>
      <c r="M66" s="536"/>
      <c r="N66" s="537"/>
      <c r="O66" s="537"/>
      <c r="P66" s="537"/>
      <c r="Q66" s="537"/>
      <c r="R66" s="537"/>
      <c r="S66" s="537"/>
      <c r="T66" s="538" t="s">
        <v>1575</v>
      </c>
      <c r="U66" s="539">
        <f>SUMIF(M20:M29,1,U20:U29)+SUMIF(M36:M45,1,U36:U45)+SUMIF(M52:M61,1,U52:U61)</f>
        <v>0</v>
      </c>
      <c r="V66" s="540">
        <f>U66*0.001</f>
        <v>0</v>
      </c>
      <c r="W66" s="881"/>
      <c r="X66" s="536"/>
      <c r="Y66" s="537"/>
      <c r="Z66" s="537"/>
      <c r="AA66" s="537"/>
      <c r="AB66" s="537"/>
      <c r="AC66" s="537"/>
      <c r="AD66" s="537"/>
      <c r="AE66" s="538" t="s">
        <v>1575</v>
      </c>
      <c r="AF66" s="539">
        <f>SUMIF(X20:X29,1,AF20:AF29)+SUMIF(X36:X45,1,AF36:AF45)+SUMIF(X52:X61,1,AF52:AF61)</f>
        <v>0</v>
      </c>
      <c r="AG66" s="540">
        <f>AF66*0.001</f>
        <v>0</v>
      </c>
    </row>
    <row r="67" spans="2:33" ht="15" customHeight="1">
      <c r="B67" s="536"/>
      <c r="C67" s="537"/>
      <c r="D67" s="537"/>
      <c r="E67" s="537"/>
      <c r="F67" s="537"/>
      <c r="G67" s="537"/>
      <c r="H67" s="537"/>
      <c r="I67" s="538" t="s">
        <v>1576</v>
      </c>
      <c r="J67" s="539">
        <f>SUMIF(B20:B29,2,J20:J29)+SUMIF(B36:B45,2,J36:J45)+SUMIF(B52:B61,2,J52:J61)</f>
        <v>283.2</v>
      </c>
      <c r="K67" s="540">
        <f t="shared" ref="K67:K68" si="18">J67*0.001</f>
        <v>0.28320000000000001</v>
      </c>
      <c r="L67" s="881"/>
      <c r="M67" s="536"/>
      <c r="N67" s="537"/>
      <c r="O67" s="537"/>
      <c r="P67" s="537"/>
      <c r="Q67" s="537"/>
      <c r="R67" s="537"/>
      <c r="S67" s="537"/>
      <c r="T67" s="538" t="s">
        <v>1576</v>
      </c>
      <c r="U67" s="539">
        <f>SUMIF(M20:M29,2,U20:U29)+SUMIF(M36:M45,2,U36:U45)+SUMIF(M52:M61,2,U52:U61)</f>
        <v>0</v>
      </c>
      <c r="V67" s="540">
        <f t="shared" ref="V67:V68" si="19">U67*0.001</f>
        <v>0</v>
      </c>
      <c r="W67" s="881"/>
      <c r="X67" s="536"/>
      <c r="Y67" s="537"/>
      <c r="Z67" s="537"/>
      <c r="AA67" s="537"/>
      <c r="AB67" s="537"/>
      <c r="AC67" s="537"/>
      <c r="AD67" s="537"/>
      <c r="AE67" s="538" t="s">
        <v>1576</v>
      </c>
      <c r="AF67" s="539">
        <f>SUMIF(X20:X29,2,AF20:AF29)+SUMIF(X36:X45,2,AF36:AF45)+SUMIF(X52:X61,2,AF52:AF61)</f>
        <v>0</v>
      </c>
      <c r="AG67" s="540">
        <f t="shared" ref="AG67:AG68" si="20">AF67*0.001</f>
        <v>0</v>
      </c>
    </row>
    <row r="68" spans="2:33" ht="15" customHeight="1">
      <c r="B68" s="536"/>
      <c r="C68" s="537"/>
      <c r="D68" s="537"/>
      <c r="E68" s="537"/>
      <c r="F68" s="537"/>
      <c r="G68" s="537"/>
      <c r="H68" s="537"/>
      <c r="I68" s="538" t="s">
        <v>1577</v>
      </c>
      <c r="J68" s="539">
        <f>SUMIF(B20:B29,3,J20:J29)+SUMIF(B36:B45,3,J36:J45)+SUMIF(B52:B61,3,J52:J61)</f>
        <v>438.5</v>
      </c>
      <c r="K68" s="540">
        <f t="shared" si="18"/>
        <v>0.4385</v>
      </c>
      <c r="L68" s="881"/>
      <c r="M68" s="536"/>
      <c r="N68" s="537"/>
      <c r="O68" s="537"/>
      <c r="P68" s="537"/>
      <c r="Q68" s="537"/>
      <c r="R68" s="537"/>
      <c r="S68" s="537"/>
      <c r="T68" s="538" t="s">
        <v>1577</v>
      </c>
      <c r="U68" s="539">
        <f>SUMIF(M20:M29,3,U20:U29)+SUMIF(M36:M45,3,U36:U45)+SUMIF(M52:M61,3,U52:U61)</f>
        <v>0</v>
      </c>
      <c r="V68" s="540">
        <f t="shared" si="19"/>
        <v>0</v>
      </c>
      <c r="W68" s="881"/>
      <c r="X68" s="536"/>
      <c r="Y68" s="537"/>
      <c r="Z68" s="537"/>
      <c r="AA68" s="537"/>
      <c r="AB68" s="537"/>
      <c r="AC68" s="537"/>
      <c r="AD68" s="537"/>
      <c r="AE68" s="538" t="s">
        <v>1577</v>
      </c>
      <c r="AF68" s="539">
        <f>SUMIF(X20:X29,3,AF20:AF29)+SUMIF(X36:X45,3,AF36:AF45)+SUMIF(X52:X61,3,AF52:AF61)</f>
        <v>0</v>
      </c>
      <c r="AG68" s="540">
        <f t="shared" si="20"/>
        <v>0</v>
      </c>
    </row>
  </sheetData>
  <mergeCells count="153">
    <mergeCell ref="C20:D20"/>
    <mergeCell ref="C21:D21"/>
    <mergeCell ref="C22:D22"/>
    <mergeCell ref="C23:D23"/>
    <mergeCell ref="N22:O22"/>
    <mergeCell ref="G18:G19"/>
    <mergeCell ref="H18:H19"/>
    <mergeCell ref="B18:B19"/>
    <mergeCell ref="C18:D19"/>
    <mergeCell ref="I18:I19"/>
    <mergeCell ref="J18:K18"/>
    <mergeCell ref="C37:D37"/>
    <mergeCell ref="C38:D38"/>
    <mergeCell ref="C39:D39"/>
    <mergeCell ref="C36:D36"/>
    <mergeCell ref="C24:D24"/>
    <mergeCell ref="C25:D25"/>
    <mergeCell ref="C26:D26"/>
    <mergeCell ref="C27:D27"/>
    <mergeCell ref="C28:D28"/>
    <mergeCell ref="U18:V18"/>
    <mergeCell ref="X18:X19"/>
    <mergeCell ref="N28:O28"/>
    <mergeCell ref="Y18:Z19"/>
    <mergeCell ref="AC18:AC19"/>
    <mergeCell ref="AD18:AD19"/>
    <mergeCell ref="N25:O25"/>
    <mergeCell ref="R18:R19"/>
    <mergeCell ref="M18:M19"/>
    <mergeCell ref="N18:O19"/>
    <mergeCell ref="S18:S19"/>
    <mergeCell ref="T18:T19"/>
    <mergeCell ref="Y25:Z25"/>
    <mergeCell ref="N26:O26"/>
    <mergeCell ref="Y26:Z26"/>
    <mergeCell ref="N27:O27"/>
    <mergeCell ref="Y27:Z27"/>
    <mergeCell ref="Y22:Z22"/>
    <mergeCell ref="N23:O23"/>
    <mergeCell ref="Y23:Z23"/>
    <mergeCell ref="N24:O24"/>
    <mergeCell ref="Y24:Z24"/>
    <mergeCell ref="Y28:Z28"/>
    <mergeCell ref="AF50:AG50"/>
    <mergeCell ref="C52:D52"/>
    <mergeCell ref="N52:O52"/>
    <mergeCell ref="Y52:Z52"/>
    <mergeCell ref="E50:E51"/>
    <mergeCell ref="P50:P51"/>
    <mergeCell ref="AA50:AA51"/>
    <mergeCell ref="T50:T51"/>
    <mergeCell ref="U50:V50"/>
    <mergeCell ref="X50:X51"/>
    <mergeCell ref="Y50:Z51"/>
    <mergeCell ref="AC50:AC51"/>
    <mergeCell ref="J50:K50"/>
    <mergeCell ref="M50:M51"/>
    <mergeCell ref="N50:O51"/>
    <mergeCell ref="R50:R51"/>
    <mergeCell ref="S50:S51"/>
    <mergeCell ref="C50:D51"/>
    <mergeCell ref="G50:G51"/>
    <mergeCell ref="H50:H51"/>
    <mergeCell ref="I50:I51"/>
    <mergeCell ref="AE18:AE19"/>
    <mergeCell ref="AF18:AG18"/>
    <mergeCell ref="N20:O20"/>
    <mergeCell ref="Y20:Z20"/>
    <mergeCell ref="N21:O21"/>
    <mergeCell ref="Y21:Z21"/>
    <mergeCell ref="C61:D61"/>
    <mergeCell ref="N61:O61"/>
    <mergeCell ref="Y61:Z61"/>
    <mergeCell ref="C59:D59"/>
    <mergeCell ref="N59:O59"/>
    <mergeCell ref="Y59:Z59"/>
    <mergeCell ref="C60:D60"/>
    <mergeCell ref="N60:O60"/>
    <mergeCell ref="Y60:Z60"/>
    <mergeCell ref="C57:D57"/>
    <mergeCell ref="N57:O57"/>
    <mergeCell ref="Y57:Z57"/>
    <mergeCell ref="C58:D58"/>
    <mergeCell ref="N58:O58"/>
    <mergeCell ref="Y58:Z58"/>
    <mergeCell ref="C55:D55"/>
    <mergeCell ref="N55:O55"/>
    <mergeCell ref="Y55:Z55"/>
    <mergeCell ref="N29:O29"/>
    <mergeCell ref="Y29:Z29"/>
    <mergeCell ref="B34:B35"/>
    <mergeCell ref="C34:D35"/>
    <mergeCell ref="E34:E35"/>
    <mergeCell ref="G34:G35"/>
    <mergeCell ref="H34:H35"/>
    <mergeCell ref="I34:I35"/>
    <mergeCell ref="J34:K34"/>
    <mergeCell ref="M34:M35"/>
    <mergeCell ref="N34:O35"/>
    <mergeCell ref="P34:P35"/>
    <mergeCell ref="R34:R35"/>
    <mergeCell ref="S34:S35"/>
    <mergeCell ref="T34:T35"/>
    <mergeCell ref="C29:D29"/>
    <mergeCell ref="N37:O37"/>
    <mergeCell ref="Y37:Z37"/>
    <mergeCell ref="N38:O38"/>
    <mergeCell ref="Y38:Z38"/>
    <mergeCell ref="N39:O39"/>
    <mergeCell ref="Y39:Z39"/>
    <mergeCell ref="AD34:AD35"/>
    <mergeCell ref="AE34:AE35"/>
    <mergeCell ref="AF34:AG34"/>
    <mergeCell ref="N36:O36"/>
    <mergeCell ref="Y36:Z36"/>
    <mergeCell ref="U34:V34"/>
    <mergeCell ref="X34:X35"/>
    <mergeCell ref="Y34:Z35"/>
    <mergeCell ref="AA34:AA35"/>
    <mergeCell ref="AC34:AC35"/>
    <mergeCell ref="C42:D42"/>
    <mergeCell ref="N42:O42"/>
    <mergeCell ref="Y42:Z42"/>
    <mergeCell ref="C43:D43"/>
    <mergeCell ref="N43:O43"/>
    <mergeCell ref="Y43:Z43"/>
    <mergeCell ref="C40:D40"/>
    <mergeCell ref="N40:O40"/>
    <mergeCell ref="Y40:Z40"/>
    <mergeCell ref="C41:D41"/>
    <mergeCell ref="N41:O41"/>
    <mergeCell ref="Y41:Z41"/>
    <mergeCell ref="B64:I64"/>
    <mergeCell ref="M64:T64"/>
    <mergeCell ref="X64:AE64"/>
    <mergeCell ref="C44:D44"/>
    <mergeCell ref="N44:O44"/>
    <mergeCell ref="Y44:Z44"/>
    <mergeCell ref="C45:D45"/>
    <mergeCell ref="N45:O45"/>
    <mergeCell ref="Y45:Z45"/>
    <mergeCell ref="C56:D56"/>
    <mergeCell ref="N56:O56"/>
    <mergeCell ref="Y56:Z56"/>
    <mergeCell ref="C53:D53"/>
    <mergeCell ref="N53:O53"/>
    <mergeCell ref="Y53:Z53"/>
    <mergeCell ref="C54:D54"/>
    <mergeCell ref="N54:O54"/>
    <mergeCell ref="Y54:Z54"/>
    <mergeCell ref="AD50:AD51"/>
    <mergeCell ref="AE50:AE51"/>
    <mergeCell ref="B50:B51"/>
  </mergeCells>
  <hyperlinks>
    <hyperlink ref="A2" location="Sisukord!A1" display="Sisukord"/>
    <hyperlink ref="B7" r:id="rId1" display="Conversion factors 2022: full set (for advanced users) https://www.gov.uk/government/publications/greenhouse-gas-reporting-conversion-factors-2022 "/>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Viited!$B$73:$B$75</xm:f>
          </x14:formula1>
          <xm:sqref>H20:H29 S20:S29 AD20:AD29</xm:sqref>
        </x14:dataValidation>
        <x14:dataValidation type="list" allowBlank="1" showInputMessage="1" showErrorMessage="1">
          <x14:formula1>
            <xm:f>Viited!$B$83:$B$84</xm:f>
          </x14:formula1>
          <xm:sqref>F36:F45 Q36:Q45 AB36:AB45</xm:sqref>
        </x14:dataValidation>
        <x14:dataValidation type="list" allowBlank="1" showInputMessage="1" showErrorMessage="1">
          <x14:formula1>
            <xm:f>Viited!$B$77:$B$78</xm:f>
          </x14:formula1>
          <xm:sqref>H36:H45 S36:S45 AD36:AD45</xm:sqref>
        </x14:dataValidation>
        <x14:dataValidation type="list" allowBlank="1" showInputMessage="1" showErrorMessage="1">
          <x14:formula1>
            <xm:f>Viited!$B$86:$B$87</xm:f>
          </x14:formula1>
          <xm:sqref>F52:F61 Q52:Q61 AB52:AB61</xm:sqref>
        </x14:dataValidation>
        <x14:dataValidation type="list" allowBlank="1" showInputMessage="1" showErrorMessage="1">
          <x14:formula1>
            <xm:f>Viited!$B$80:$B$81</xm:f>
          </x14:formula1>
          <xm:sqref>H52:H61 S52:S61 AD52:AD61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180"/>
    <pageSetUpPr autoPageBreaks="0"/>
  </sheetPr>
  <dimension ref="A1:AF125"/>
  <sheetViews>
    <sheetView showGridLines="0" zoomScale="90" zoomScaleNormal="90" workbookViewId="0">
      <pane xSplit="1" ySplit="1" topLeftCell="B68" activePane="bottomRight" state="frozen"/>
      <selection activeCell="B5" sqref="B5"/>
      <selection pane="topRight" activeCell="B5" sqref="B5"/>
      <selection pane="bottomLeft" activeCell="B5" sqref="B5"/>
      <selection pane="bottomRight" activeCell="D96" sqref="D96"/>
    </sheetView>
  </sheetViews>
  <sheetFormatPr defaultColWidth="8.54296875" defaultRowHeight="15" customHeight="1"/>
  <cols>
    <col min="1" max="1" width="7.1796875" style="302" customWidth="1"/>
    <col min="2" max="2" width="18.453125" style="297" customWidth="1"/>
    <col min="3" max="3" width="50.7265625" style="297" customWidth="1"/>
    <col min="4" max="8" width="15.54296875" style="297" customWidth="1"/>
    <col min="9" max="9" width="8.54296875" style="297"/>
    <col min="10" max="14" width="9.453125" style="297" customWidth="1"/>
    <col min="15" max="15" width="8.54296875" style="297"/>
    <col min="16" max="18" width="9.453125" style="297" customWidth="1"/>
    <col min="19" max="23" width="8.54296875" style="501"/>
    <col min="24" max="32" width="9.453125" style="297" customWidth="1"/>
    <col min="33" max="33" width="18.453125" style="297" customWidth="1"/>
    <col min="34" max="34" width="50.7265625" style="297" customWidth="1"/>
    <col min="35" max="16384" width="8.54296875" style="297"/>
  </cols>
  <sheetData>
    <row r="1" spans="1:32" s="396" customFormat="1" ht="21" customHeight="1">
      <c r="A1" s="293"/>
      <c r="B1" s="291" t="s">
        <v>133</v>
      </c>
      <c r="S1" s="501"/>
      <c r="T1" s="501"/>
      <c r="U1" s="501"/>
      <c r="V1" s="501"/>
      <c r="W1" s="501"/>
    </row>
    <row r="2" spans="1:32" ht="15" customHeight="1" thickBot="1">
      <c r="A2" s="295" t="s">
        <v>1</v>
      </c>
      <c r="J2" s="352"/>
      <c r="K2" s="352"/>
      <c r="L2" s="352"/>
      <c r="M2" s="352"/>
      <c r="N2" s="352"/>
      <c r="O2" s="352"/>
      <c r="P2" s="352"/>
      <c r="Q2" s="352"/>
      <c r="AA2" s="296">
        <f>D7</f>
        <v>2021</v>
      </c>
      <c r="AB2" s="296">
        <f>E7</f>
        <v>2022</v>
      </c>
      <c r="AC2" s="296">
        <f>F7</f>
        <v>2023</v>
      </c>
      <c r="AD2" s="296">
        <f>G7</f>
        <v>0</v>
      </c>
      <c r="AE2" s="296">
        <f>H7</f>
        <v>0</v>
      </c>
    </row>
    <row r="3" spans="1:32" ht="15" customHeight="1" thickTop="1" thickBot="1">
      <c r="A3" s="295"/>
      <c r="B3" s="775" t="s">
        <v>1593</v>
      </c>
      <c r="C3" s="974">
        <f>Organisatsioon!$B$18</f>
        <v>0</v>
      </c>
      <c r="D3" s="974"/>
      <c r="J3" s="352"/>
      <c r="K3" s="352"/>
      <c r="L3" s="352"/>
      <c r="M3" s="352"/>
      <c r="N3" s="352"/>
      <c r="O3" s="352"/>
      <c r="P3" s="352"/>
      <c r="Q3" s="352"/>
      <c r="S3" s="396"/>
      <c r="T3" s="396"/>
      <c r="U3" s="396"/>
      <c r="V3" s="396"/>
      <c r="W3" s="396"/>
      <c r="Y3" s="355" t="str">
        <f>B8</f>
        <v>Mõjuala 1</v>
      </c>
      <c r="Z3" s="355" t="str">
        <f>C8</f>
        <v>Organisatsiooni toodetud energia</v>
      </c>
      <c r="AA3" s="887">
        <f>D8/$D$11</f>
        <v>0.47562571602842679</v>
      </c>
      <c r="AB3" s="887">
        <f>E8/$E$11</f>
        <v>3.8591974684697668E-2</v>
      </c>
      <c r="AC3" s="887">
        <f>F8/$F$11</f>
        <v>1.0444657553038013E-2</v>
      </c>
      <c r="AD3" s="887" t="e">
        <f>G8/$G$11</f>
        <v>#DIV/0!</v>
      </c>
      <c r="AE3" s="887" t="e">
        <f>H8/$H$11</f>
        <v>#DIV/0!</v>
      </c>
      <c r="AF3" s="890">
        <f t="shared" ref="AF3:AF18" ca="1" si="0">OFFSET(Z3,,MATCH($P$30,$AA$2:$AE$2,0))</f>
        <v>0.47562571602842679</v>
      </c>
    </row>
    <row r="4" spans="1:32" ht="15" customHeight="1" thickTop="1" thickBot="1">
      <c r="A4" s="295"/>
      <c r="B4" s="775" t="s">
        <v>2137</v>
      </c>
      <c r="C4" s="776"/>
      <c r="D4" s="844" t="s">
        <v>173</v>
      </c>
      <c r="J4" s="352"/>
      <c r="K4" s="352"/>
      <c r="L4" s="352"/>
      <c r="M4" s="352"/>
      <c r="N4" s="352"/>
      <c r="O4" s="352"/>
      <c r="P4" s="352"/>
      <c r="Q4" s="352"/>
      <c r="S4" s="396"/>
      <c r="T4" s="396"/>
      <c r="U4" s="396"/>
      <c r="V4" s="396"/>
      <c r="W4" s="396"/>
      <c r="Y4"/>
      <c r="Z4" s="355" t="str">
        <f t="shared" ref="Z4:Z18" si="1">C9</f>
        <v>Organisatsiooni sõidukite kütus</v>
      </c>
      <c r="AA4" s="887">
        <f>D9/$D$11</f>
        <v>0.27579816355909031</v>
      </c>
      <c r="AB4" s="887">
        <f>E9/$E$11</f>
        <v>0</v>
      </c>
      <c r="AC4" s="887">
        <f>F9/$F$11</f>
        <v>0</v>
      </c>
      <c r="AD4" s="887" t="e">
        <f>G9/$G$11</f>
        <v>#DIV/0!</v>
      </c>
      <c r="AE4" s="887" t="e">
        <f>H9/$H$11</f>
        <v>#DIV/0!</v>
      </c>
      <c r="AF4" s="890">
        <f t="shared" ca="1" si="0"/>
        <v>0.27579816355909031</v>
      </c>
    </row>
    <row r="5" spans="1:32" ht="15" customHeight="1" thickTop="1">
      <c r="A5" s="295"/>
      <c r="J5" s="352"/>
      <c r="K5" s="352"/>
      <c r="L5" s="352"/>
      <c r="M5" s="352"/>
      <c r="N5" s="352"/>
      <c r="O5" s="352"/>
      <c r="P5" s="352"/>
      <c r="Q5" s="352"/>
      <c r="S5" s="396"/>
      <c r="T5" s="396"/>
      <c r="U5" s="396"/>
      <c r="V5" s="396"/>
      <c r="W5" s="396"/>
      <c r="Y5"/>
      <c r="Z5" s="355" t="str">
        <f t="shared" si="1"/>
        <v>Hajusheitmed</v>
      </c>
      <c r="AA5" s="887">
        <f>D10/$D$11</f>
        <v>0.24857612041248289</v>
      </c>
      <c r="AB5" s="887">
        <f>E10/$E$11</f>
        <v>0.96140802531530234</v>
      </c>
      <c r="AC5" s="887">
        <f>F10/$F$11</f>
        <v>0.98955534244696208</v>
      </c>
      <c r="AD5" s="887" t="e">
        <f>G10/$G$11</f>
        <v>#DIV/0!</v>
      </c>
      <c r="AE5" s="887" t="e">
        <f>H10/$H$11</f>
        <v>#DIV/0!</v>
      </c>
      <c r="AF5" s="890">
        <f t="shared" ca="1" si="0"/>
        <v>0.24857612041248289</v>
      </c>
    </row>
    <row r="6" spans="1:32" ht="15" customHeight="1">
      <c r="A6" s="295"/>
      <c r="B6" s="503" t="s">
        <v>2075</v>
      </c>
      <c r="C6" s="503"/>
      <c r="D6" s="503"/>
      <c r="E6" s="503"/>
      <c r="F6" s="503"/>
      <c r="G6" s="503"/>
      <c r="H6" s="503"/>
      <c r="J6" s="352"/>
      <c r="K6" s="352"/>
      <c r="L6" s="352"/>
      <c r="M6" s="352"/>
      <c r="N6" s="352"/>
      <c r="O6" s="352"/>
      <c r="P6" s="352"/>
      <c r="Q6" s="352"/>
      <c r="Y6"/>
      <c r="Z6" s="355" t="str">
        <f t="shared" si="1"/>
        <v>Mõjuala 1 kokku</v>
      </c>
      <c r="AA6" s="888">
        <f>D11/$D$11</f>
        <v>1</v>
      </c>
      <c r="AB6" s="888">
        <f>E11/$E$11</f>
        <v>1</v>
      </c>
      <c r="AC6" s="888">
        <f>F11/$F$11</f>
        <v>1</v>
      </c>
      <c r="AD6" s="888" t="e">
        <f>G11/$G$11</f>
        <v>#DIV/0!</v>
      </c>
      <c r="AE6" s="888" t="e">
        <f>H11/$H$11</f>
        <v>#DIV/0!</v>
      </c>
      <c r="AF6" s="890">
        <f t="shared" ca="1" si="0"/>
        <v>1</v>
      </c>
    </row>
    <row r="7" spans="1:32" ht="15" customHeight="1">
      <c r="A7" s="297"/>
      <c r="B7" s="349" t="s">
        <v>61</v>
      </c>
      <c r="C7" s="504" t="s">
        <v>134</v>
      </c>
      <c r="D7" s="505">
        <f>Organisatsioon!$B$23</f>
        <v>2021</v>
      </c>
      <c r="E7" s="505">
        <f>Organisatsioon!$B$24</f>
        <v>2022</v>
      </c>
      <c r="F7" s="505">
        <f>Organisatsioon!$B$25</f>
        <v>2023</v>
      </c>
      <c r="G7" s="505">
        <f>Organisatsioon!$B$26</f>
        <v>0</v>
      </c>
      <c r="H7" s="505">
        <f>Organisatsioon!$B$27</f>
        <v>0</v>
      </c>
      <c r="J7" s="352"/>
      <c r="K7" s="352"/>
      <c r="L7" s="352"/>
      <c r="M7" s="352"/>
      <c r="N7" s="352"/>
      <c r="O7" s="352"/>
      <c r="P7" s="352"/>
      <c r="Q7" s="352"/>
      <c r="Y7" s="355" t="str">
        <f>B12</f>
        <v>Mõjuala 2</v>
      </c>
      <c r="Z7" s="355" t="str">
        <f t="shared" si="1"/>
        <v>Ostetud elektrienergia</v>
      </c>
      <c r="AA7" s="887">
        <f>D12/$D$14</f>
        <v>0.54820701324643561</v>
      </c>
      <c r="AB7" s="887">
        <f>E12/$E$14</f>
        <v>0.53440724948588725</v>
      </c>
      <c r="AC7" s="887">
        <f>F12/$F$14</f>
        <v>0.99752678484779678</v>
      </c>
      <c r="AD7" s="887" t="e">
        <f>G12/$G$14</f>
        <v>#DIV/0!</v>
      </c>
      <c r="AE7" s="887" t="e">
        <f>H12/$H$14</f>
        <v>#DIV/0!</v>
      </c>
      <c r="AF7" s="890">
        <f t="shared" ca="1" si="0"/>
        <v>0.54820701324643561</v>
      </c>
    </row>
    <row r="8" spans="1:32" ht="15" customHeight="1">
      <c r="A8" s="297"/>
      <c r="B8" s="975" t="s">
        <v>13</v>
      </c>
      <c r="C8" s="332" t="s">
        <v>2348</v>
      </c>
      <c r="D8" s="507">
        <f>'M1-Energia'!$L$45</f>
        <v>58.951874727625452</v>
      </c>
      <c r="E8" s="507">
        <f>'M1-Energia'!Y45</f>
        <v>4.2509423798175086E-2</v>
      </c>
      <c r="F8" s="507">
        <f>'M1-Energia'!AL45</f>
        <v>5.0663519364779286E-4</v>
      </c>
      <c r="G8" s="507"/>
      <c r="H8" s="507"/>
      <c r="J8" s="352"/>
      <c r="K8" s="352"/>
      <c r="L8" s="352"/>
      <c r="M8" s="352"/>
      <c r="N8" s="352"/>
      <c r="O8" s="352"/>
      <c r="P8" s="352"/>
      <c r="Q8" s="352"/>
      <c r="Y8" s="355"/>
      <c r="Z8" s="355" t="str">
        <f t="shared" si="1"/>
        <v>Ostetud soojusenergia</v>
      </c>
      <c r="AA8" s="887">
        <f>D13/$D$14</f>
        <v>0.45179298675356439</v>
      </c>
      <c r="AB8" s="887">
        <f>E13/$E$14</f>
        <v>0.4655927505141127</v>
      </c>
      <c r="AC8" s="887">
        <f>F13/$F$14</f>
        <v>2.4732151522031511E-3</v>
      </c>
      <c r="AD8" s="887" t="e">
        <f>G13/$G$14</f>
        <v>#DIV/0!</v>
      </c>
      <c r="AE8" s="887" t="e">
        <f>H13/$H$14</f>
        <v>#DIV/0!</v>
      </c>
      <c r="AF8" s="890">
        <f t="shared" ca="1" si="0"/>
        <v>0.45179298675356439</v>
      </c>
    </row>
    <row r="9" spans="1:32" ht="15" customHeight="1">
      <c r="A9" s="297"/>
      <c r="B9" s="976"/>
      <c r="C9" s="332" t="s">
        <v>2230</v>
      </c>
      <c r="D9" s="507">
        <f>'M1-Sõidukid'!$L$92</f>
        <v>34.184061627300451</v>
      </c>
      <c r="E9" s="507">
        <f>'M1-Sõidukid'!X92</f>
        <v>0</v>
      </c>
      <c r="F9" s="507">
        <f>'M1-Sõidukid'!AJ92</f>
        <v>0</v>
      </c>
      <c r="G9" s="507"/>
      <c r="H9" s="507"/>
      <c r="J9" s="352"/>
      <c r="K9" s="352"/>
      <c r="L9" s="352"/>
      <c r="M9" s="352"/>
      <c r="N9" s="352"/>
      <c r="O9" s="352"/>
      <c r="P9" s="352"/>
      <c r="Q9" s="352"/>
      <c r="Y9" s="355"/>
      <c r="Z9" s="355" t="str">
        <f t="shared" si="1"/>
        <v>Mõjuala 2 kokku</v>
      </c>
      <c r="AA9" s="888">
        <f>D14/$D$14</f>
        <v>1</v>
      </c>
      <c r="AB9" s="888">
        <f>E14/$E$14</f>
        <v>1</v>
      </c>
      <c r="AC9" s="888">
        <f>F14/$F$14</f>
        <v>1</v>
      </c>
      <c r="AD9" s="888" t="e">
        <f>G14/$G$14</f>
        <v>#DIV/0!</v>
      </c>
      <c r="AE9" s="888" t="e">
        <f>H14/$H$14</f>
        <v>#DIV/0!</v>
      </c>
      <c r="AF9" s="890">
        <f t="shared" ca="1" si="0"/>
        <v>1</v>
      </c>
    </row>
    <row r="10" spans="1:32" ht="15" customHeight="1">
      <c r="B10" s="977"/>
      <c r="C10" s="332" t="s">
        <v>1445</v>
      </c>
      <c r="D10" s="507">
        <f>'M1-Hajusheitmed'!$I$40</f>
        <v>30.810000000000002</v>
      </c>
      <c r="E10" s="507">
        <f>'M1-Hajusheitmed'!R40</f>
        <v>1.0589999999999999</v>
      </c>
      <c r="F10" s="507">
        <f>'M1-Hajusheitmed'!AA40</f>
        <v>4.8000000000000001E-2</v>
      </c>
      <c r="G10" s="507"/>
      <c r="H10" s="507"/>
      <c r="J10" s="352"/>
      <c r="K10" s="352"/>
      <c r="L10" s="352"/>
      <c r="M10" s="352"/>
      <c r="N10" s="352"/>
      <c r="O10" s="352"/>
      <c r="P10" s="352"/>
      <c r="Q10" s="352"/>
      <c r="Y10" s="355" t="str">
        <f>B15</f>
        <v>Mõjuala 3</v>
      </c>
      <c r="Z10" s="355" t="str">
        <f t="shared" si="1"/>
        <v>Kauba- või inimeste veoks sisseostetud transport</v>
      </c>
      <c r="AA10" s="887">
        <f t="shared" ref="AA10:AA18" si="2">D15/$D$23</f>
        <v>0.9790393919483994</v>
      </c>
      <c r="AB10" s="887">
        <f t="shared" ref="AB10:AB18" si="3">E15/$E$23</f>
        <v>0.83138565289088528</v>
      </c>
      <c r="AC10" s="352" t="e">
        <f t="shared" ref="AC10:AC18" si="4">F15/$F$23</f>
        <v>#DIV/0!</v>
      </c>
      <c r="AD10" s="352" t="e">
        <f t="shared" ref="AD10:AD18" si="5">G15/$G$23</f>
        <v>#DIV/0!</v>
      </c>
      <c r="AE10" s="352" t="e">
        <f t="shared" ref="AE10:AE18" si="6">H15/$H$23</f>
        <v>#DIV/0!</v>
      </c>
      <c r="AF10" s="890">
        <f t="shared" ca="1" si="0"/>
        <v>0.9790393919483994</v>
      </c>
    </row>
    <row r="11" spans="1:32" ht="15" customHeight="1">
      <c r="B11" s="509"/>
      <c r="C11" s="510" t="s">
        <v>1817</v>
      </c>
      <c r="D11" s="511">
        <f>SUM(D8:D10)</f>
        <v>123.94593635492591</v>
      </c>
      <c r="E11" s="511">
        <f t="shared" ref="E11:H11" si="7">SUM(E8:E10)</f>
        <v>1.1015094237981751</v>
      </c>
      <c r="F11" s="511">
        <f t="shared" si="7"/>
        <v>4.8506635193647792E-2</v>
      </c>
      <c r="G11" s="511">
        <f t="shared" si="7"/>
        <v>0</v>
      </c>
      <c r="H11" s="511">
        <f t="shared" si="7"/>
        <v>0</v>
      </c>
      <c r="J11" s="352"/>
      <c r="K11" s="352"/>
      <c r="L11" s="352"/>
      <c r="M11" s="352"/>
      <c r="N11" s="352"/>
      <c r="O11" s="352"/>
      <c r="P11" s="352"/>
      <c r="Q11" s="352"/>
      <c r="Y11" s="355"/>
      <c r="Z11" s="355" t="str">
        <f t="shared" si="1"/>
        <v>Töötajate tööreisid</v>
      </c>
      <c r="AA11" s="887">
        <f t="shared" si="2"/>
        <v>2.9740944268413952E-3</v>
      </c>
      <c r="AB11" s="887">
        <f t="shared" si="3"/>
        <v>6.4512646686223668E-2</v>
      </c>
      <c r="AC11" s="352" t="e">
        <f t="shared" si="4"/>
        <v>#DIV/0!</v>
      </c>
      <c r="AD11" s="352" t="e">
        <f t="shared" si="5"/>
        <v>#DIV/0!</v>
      </c>
      <c r="AE11" s="352" t="e">
        <f t="shared" si="6"/>
        <v>#DIV/0!</v>
      </c>
      <c r="AF11" s="890">
        <f t="shared" ca="1" si="0"/>
        <v>2.9740944268413952E-3</v>
      </c>
    </row>
    <row r="12" spans="1:32" ht="15" customHeight="1">
      <c r="B12" s="975" t="s">
        <v>19</v>
      </c>
      <c r="C12" s="332" t="s">
        <v>136</v>
      </c>
      <c r="D12" s="507">
        <f>'M2-Ostetud elektrienergia'!K71</f>
        <v>32.147289999999998</v>
      </c>
      <c r="E12" s="507">
        <f>'M2-Ostetud elektrienergia'!V71</f>
        <v>25.972464000000002</v>
      </c>
      <c r="F12" s="507">
        <f>'M2-Ostetud elektrienergia'!AG71</f>
        <v>6.8114059999999998</v>
      </c>
      <c r="G12" s="507"/>
      <c r="H12" s="507"/>
      <c r="J12" s="352"/>
      <c r="K12" s="352"/>
      <c r="L12" s="352"/>
      <c r="M12" s="352"/>
      <c r="N12" s="352"/>
      <c r="O12" s="352"/>
      <c r="P12" s="352"/>
      <c r="Q12" s="352"/>
      <c r="Y12"/>
      <c r="Z12" s="355" t="str">
        <f t="shared" si="1"/>
        <v>Töötajate tööle-koju liikumine</v>
      </c>
      <c r="AA12" s="887">
        <f t="shared" si="2"/>
        <v>2.1826308273497903E-3</v>
      </c>
      <c r="AB12" s="887">
        <f t="shared" si="3"/>
        <v>5.9489756954339723E-2</v>
      </c>
      <c r="AC12" s="352" t="e">
        <f t="shared" si="4"/>
        <v>#DIV/0!</v>
      </c>
      <c r="AD12" s="352" t="e">
        <f t="shared" si="5"/>
        <v>#DIV/0!</v>
      </c>
      <c r="AE12" s="352" t="e">
        <f t="shared" si="6"/>
        <v>#DIV/0!</v>
      </c>
      <c r="AF12" s="890">
        <f t="shared" ca="1" si="0"/>
        <v>2.1826308273497903E-3</v>
      </c>
    </row>
    <row r="13" spans="1:32" ht="15" customHeight="1">
      <c r="B13" s="977"/>
      <c r="C13" s="332" t="s">
        <v>137</v>
      </c>
      <c r="D13" s="507">
        <f>'M2-Ostetud soojusenergia'!$K$49</f>
        <v>26.49349573097134</v>
      </c>
      <c r="E13" s="507">
        <f>'M2-Ostetud soojusenergia'!V49</f>
        <v>22.628044366954491</v>
      </c>
      <c r="F13" s="507">
        <f>'M2-Ostetud soojusenergia'!AG49</f>
        <v>1.6887839788259761E-2</v>
      </c>
      <c r="G13" s="507"/>
      <c r="H13" s="507"/>
      <c r="J13" s="352"/>
      <c r="K13" s="352"/>
      <c r="L13" s="352"/>
      <c r="M13" s="352"/>
      <c r="N13" s="352"/>
      <c r="O13" s="352"/>
      <c r="P13" s="352"/>
      <c r="Q13" s="352"/>
      <c r="Y13"/>
      <c r="Z13" s="355" t="str">
        <f t="shared" si="1"/>
        <v>Jäätmed</v>
      </c>
      <c r="AA13" s="887">
        <f t="shared" si="2"/>
        <v>9.7951424212550965E-3</v>
      </c>
      <c r="AB13" s="887">
        <f t="shared" si="3"/>
        <v>4.4611943468551365E-2</v>
      </c>
      <c r="AC13" s="352" t="e">
        <f t="shared" si="4"/>
        <v>#DIV/0!</v>
      </c>
      <c r="AD13" s="352" t="e">
        <f t="shared" si="5"/>
        <v>#DIV/0!</v>
      </c>
      <c r="AE13" s="352" t="e">
        <f t="shared" si="6"/>
        <v>#DIV/0!</v>
      </c>
      <c r="AF13" s="890">
        <f t="shared" ca="1" si="0"/>
        <v>9.7951424212550965E-3</v>
      </c>
    </row>
    <row r="14" spans="1:32" ht="15" customHeight="1">
      <c r="B14" s="509"/>
      <c r="C14" s="510" t="s">
        <v>1818</v>
      </c>
      <c r="D14" s="511">
        <f>SUM(D12:D13)</f>
        <v>58.640785730971338</v>
      </c>
      <c r="E14" s="511">
        <f t="shared" ref="E14:H14" si="8">SUM(E12:E13)</f>
        <v>48.600508366954493</v>
      </c>
      <c r="F14" s="511">
        <f t="shared" si="8"/>
        <v>6.8282938397882598</v>
      </c>
      <c r="G14" s="511">
        <f t="shared" si="8"/>
        <v>0</v>
      </c>
      <c r="H14" s="511">
        <f t="shared" si="8"/>
        <v>0</v>
      </c>
      <c r="J14" s="352"/>
      <c r="K14" s="352"/>
      <c r="L14" s="352"/>
      <c r="M14" s="352"/>
      <c r="N14" s="352"/>
      <c r="O14" s="352"/>
      <c r="P14" s="352"/>
      <c r="Q14" s="352"/>
      <c r="Y14"/>
      <c r="Z14" s="355" t="str">
        <f t="shared" si="1"/>
        <v>Ostetud tooted</v>
      </c>
      <c r="AA14" s="887">
        <f t="shared" si="2"/>
        <v>2.7176896990555319E-3</v>
      </c>
      <c r="AB14" s="887">
        <f t="shared" si="3"/>
        <v>0</v>
      </c>
      <c r="AC14" s="352" t="e">
        <f t="shared" si="4"/>
        <v>#DIV/0!</v>
      </c>
      <c r="AD14" s="352" t="e">
        <f t="shared" si="5"/>
        <v>#DIV/0!</v>
      </c>
      <c r="AE14" s="352" t="e">
        <f t="shared" si="6"/>
        <v>#DIV/0!</v>
      </c>
      <c r="AF14" s="890">
        <f t="shared" ca="1" si="0"/>
        <v>2.7176896990555319E-3</v>
      </c>
    </row>
    <row r="15" spans="1:32" ht="15" customHeight="1">
      <c r="B15" s="975" t="s">
        <v>20</v>
      </c>
      <c r="C15" s="332" t="s">
        <v>2234</v>
      </c>
      <c r="D15" s="507">
        <f>'M3-Transport'!$M$193</f>
        <v>252.4758241277375</v>
      </c>
      <c r="E15" s="507">
        <f>'M3-Transport'!AE193</f>
        <v>11.554284900314091</v>
      </c>
      <c r="F15" s="507">
        <f>'M3-Transport'!AW193</f>
        <v>0</v>
      </c>
      <c r="G15" s="507"/>
      <c r="H15" s="507"/>
      <c r="J15" s="352"/>
      <c r="K15" s="352"/>
      <c r="L15" s="352"/>
      <c r="M15" s="352"/>
      <c r="N15" s="352"/>
      <c r="O15" s="352"/>
      <c r="P15" s="352"/>
      <c r="Q15" s="352"/>
      <c r="Y15"/>
      <c r="Z15" s="355" t="str">
        <f t="shared" si="1"/>
        <v>Müüdud tooted</v>
      </c>
      <c r="AA15" s="887">
        <f t="shared" si="2"/>
        <v>0</v>
      </c>
      <c r="AB15" s="887">
        <f t="shared" si="3"/>
        <v>0</v>
      </c>
      <c r="AC15" s="352" t="e">
        <f t="shared" si="4"/>
        <v>#DIV/0!</v>
      </c>
      <c r="AD15" s="352" t="e">
        <f t="shared" si="5"/>
        <v>#DIV/0!</v>
      </c>
      <c r="AE15" s="352" t="e">
        <f t="shared" si="6"/>
        <v>#DIV/0!</v>
      </c>
      <c r="AF15" s="890">
        <f t="shared" ca="1" si="0"/>
        <v>0</v>
      </c>
    </row>
    <row r="16" spans="1:32" ht="15" customHeight="1">
      <c r="B16" s="976"/>
      <c r="C16" s="332" t="s">
        <v>2235</v>
      </c>
      <c r="D16" s="507">
        <f>'M3-Tööreisid'!$K$69</f>
        <v>0.76696295126199376</v>
      </c>
      <c r="E16" s="507">
        <f>'M3-Tööreisid'!V69</f>
        <v>0.89657248341253393</v>
      </c>
      <c r="F16" s="507">
        <f>'M3-Tööreisid'!AG69</f>
        <v>0</v>
      </c>
      <c r="G16" s="507"/>
      <c r="H16" s="507"/>
      <c r="J16" s="352"/>
      <c r="K16" s="352"/>
      <c r="L16" s="352"/>
      <c r="M16" s="352"/>
      <c r="N16" s="352"/>
      <c r="O16" s="352"/>
      <c r="P16" s="352"/>
      <c r="Q16" s="352"/>
      <c r="Y16"/>
      <c r="Z16" s="355" t="str">
        <f t="shared" si="1"/>
        <v>Finantsinvesteeringud</v>
      </c>
      <c r="AA16" s="887">
        <f t="shared" si="2"/>
        <v>0</v>
      </c>
      <c r="AB16" s="887">
        <f t="shared" si="3"/>
        <v>0</v>
      </c>
      <c r="AC16" s="352" t="e">
        <f t="shared" si="4"/>
        <v>#DIV/0!</v>
      </c>
      <c r="AD16" s="352" t="e">
        <f t="shared" si="5"/>
        <v>#DIV/0!</v>
      </c>
      <c r="AE16" s="352" t="e">
        <f t="shared" si="6"/>
        <v>#DIV/0!</v>
      </c>
      <c r="AF16" s="890">
        <f t="shared" ca="1" si="0"/>
        <v>0</v>
      </c>
    </row>
    <row r="17" spans="1:32" ht="15" customHeight="1">
      <c r="B17" s="976"/>
      <c r="C17" s="332" t="s">
        <v>2236</v>
      </c>
      <c r="D17" s="507">
        <f>'M3-Tööle-koju'!$K$68</f>
        <v>0.56285939200573831</v>
      </c>
      <c r="E17" s="507">
        <f>'M3-Tööle-koju'!V68</f>
        <v>0.82676625235328061</v>
      </c>
      <c r="F17" s="507">
        <f>'M3-Tööle-koju'!AG68</f>
        <v>0</v>
      </c>
      <c r="G17" s="507"/>
      <c r="H17" s="507"/>
      <c r="J17" s="352"/>
      <c r="K17" s="352"/>
      <c r="L17" s="352"/>
      <c r="M17" s="352"/>
      <c r="N17" s="352"/>
      <c r="O17" s="352"/>
      <c r="P17" s="352"/>
      <c r="Q17" s="352"/>
      <c r="Y17"/>
      <c r="Z17" s="355" t="str">
        <f t="shared" si="1"/>
        <v>Sõidukikütuste ülesvoolu KHG heide</v>
      </c>
      <c r="AA17" s="887">
        <f t="shared" si="2"/>
        <v>3.2910506770985567E-3</v>
      </c>
      <c r="AB17" s="887">
        <f t="shared" si="3"/>
        <v>0</v>
      </c>
      <c r="AC17" s="352" t="e">
        <f t="shared" si="4"/>
        <v>#DIV/0!</v>
      </c>
      <c r="AD17" s="352" t="e">
        <f t="shared" si="5"/>
        <v>#DIV/0!</v>
      </c>
      <c r="AE17" s="352" t="e">
        <f t="shared" si="6"/>
        <v>#DIV/0!</v>
      </c>
      <c r="AF17" s="890">
        <f t="shared" ca="1" si="0"/>
        <v>3.2910506770985567E-3</v>
      </c>
    </row>
    <row r="18" spans="1:32" ht="15" customHeight="1">
      <c r="B18" s="976"/>
      <c r="C18" s="332" t="s">
        <v>138</v>
      </c>
      <c r="D18" s="507">
        <f>'M3-Jäätmed'!$N$53</f>
        <v>2.5259827904710956</v>
      </c>
      <c r="E18" s="507">
        <f>'M3-Jäätmed'!AB53</f>
        <v>0.62</v>
      </c>
      <c r="F18" s="507">
        <f>'M3-Jäätmed'!AP53</f>
        <v>0</v>
      </c>
      <c r="G18" s="507"/>
      <c r="H18" s="507"/>
      <c r="J18" s="352"/>
      <c r="K18" s="352"/>
      <c r="O18" s="352"/>
      <c r="P18" s="352"/>
      <c r="Q18" s="352"/>
      <c r="Y18"/>
      <c r="Z18" s="355" t="str">
        <f t="shared" si="1"/>
        <v>Mõjuala 3 kokku</v>
      </c>
      <c r="AA18" s="888">
        <f t="shared" si="2"/>
        <v>1</v>
      </c>
      <c r="AB18" s="888">
        <f t="shared" si="3"/>
        <v>1</v>
      </c>
      <c r="AC18" s="889" t="e">
        <f t="shared" si="4"/>
        <v>#DIV/0!</v>
      </c>
      <c r="AD18" s="889" t="e">
        <f t="shared" si="5"/>
        <v>#DIV/0!</v>
      </c>
      <c r="AE18" s="889" t="e">
        <f t="shared" si="6"/>
        <v>#DIV/0!</v>
      </c>
      <c r="AF18" s="890">
        <f t="shared" ca="1" si="0"/>
        <v>1</v>
      </c>
    </row>
    <row r="19" spans="1:32" ht="15" customHeight="1">
      <c r="A19" s="297"/>
      <c r="B19" s="976"/>
      <c r="C19" s="332" t="s">
        <v>1573</v>
      </c>
      <c r="D19" s="507">
        <f>'M3-Ostetud tooted'!$M$41</f>
        <v>0.70084100000000005</v>
      </c>
      <c r="E19" s="507">
        <f>'M3-Ostetud tooted'!Z41</f>
        <v>0</v>
      </c>
      <c r="F19" s="507">
        <f>'M3-Ostetud tooted'!AM41</f>
        <v>0</v>
      </c>
      <c r="G19" s="507"/>
      <c r="H19" s="507"/>
      <c r="J19" s="352"/>
      <c r="K19" s="352"/>
      <c r="L19" s="352"/>
      <c r="M19" s="352"/>
      <c r="N19" s="352"/>
      <c r="O19" s="352"/>
      <c r="P19" s="352"/>
      <c r="Q19" s="352"/>
      <c r="Y19" s="506"/>
    </row>
    <row r="20" spans="1:32" ht="15" customHeight="1">
      <c r="A20" s="297"/>
      <c r="B20" s="976"/>
      <c r="C20" s="332" t="s">
        <v>1574</v>
      </c>
      <c r="D20" s="507">
        <f>'M3-Müüdud tooted'!$M$41</f>
        <v>0</v>
      </c>
      <c r="E20" s="507">
        <f>'M3-Müüdud tooted'!Z41</f>
        <v>0</v>
      </c>
      <c r="F20" s="507">
        <f>'M3-Müüdud tooted'!Z41</f>
        <v>0</v>
      </c>
      <c r="G20" s="507"/>
      <c r="H20" s="507"/>
      <c r="J20" s="352"/>
      <c r="K20" s="352"/>
      <c r="L20" s="352"/>
      <c r="M20" s="352"/>
      <c r="N20" s="352"/>
      <c r="O20" s="352"/>
      <c r="P20" s="352"/>
      <c r="Q20" s="352"/>
    </row>
    <row r="21" spans="1:32" ht="15" customHeight="1">
      <c r="B21" s="976"/>
      <c r="C21" s="332" t="s">
        <v>139</v>
      </c>
      <c r="D21" s="507">
        <f>'M3-Finantsinvesteeringud'!$P$51</f>
        <v>0</v>
      </c>
      <c r="E21" s="507">
        <f>'M3-Finantsinvesteeringud'!AV51</f>
        <v>0</v>
      </c>
      <c r="F21" s="507">
        <f>'M3-Finantsinvesteeringud'!AV51</f>
        <v>0</v>
      </c>
      <c r="G21" s="507"/>
      <c r="H21" s="507"/>
      <c r="J21" s="352"/>
      <c r="K21" s="352"/>
      <c r="L21" s="352"/>
      <c r="M21" s="352"/>
      <c r="N21" s="352"/>
      <c r="O21" s="352"/>
      <c r="P21" s="352"/>
      <c r="Q21" s="352"/>
    </row>
    <row r="22" spans="1:32" ht="15" customHeight="1">
      <c r="B22" s="977"/>
      <c r="C22" s="332" t="s">
        <v>2299</v>
      </c>
      <c r="D22" s="507">
        <f>'M3-Sõidukikütused'!$K$64</f>
        <v>0.84870000000000001</v>
      </c>
      <c r="E22" s="507">
        <f>'M3-Sõidukikütused'!V64</f>
        <v>0</v>
      </c>
      <c r="F22" s="507">
        <f>'M3-Sõidukikütused'!AG64</f>
        <v>0</v>
      </c>
      <c r="G22" s="507"/>
      <c r="H22" s="507"/>
      <c r="J22" s="352"/>
      <c r="K22" s="352"/>
      <c r="L22" s="352"/>
      <c r="M22" s="352"/>
      <c r="N22" s="352"/>
      <c r="O22" s="352"/>
      <c r="P22" s="352"/>
      <c r="Q22" s="352"/>
    </row>
    <row r="23" spans="1:32" ht="15" customHeight="1">
      <c r="B23" s="509"/>
      <c r="C23" s="510" t="s">
        <v>1819</v>
      </c>
      <c r="D23" s="511">
        <f>SUM(D15:D22)</f>
        <v>257.88117026147637</v>
      </c>
      <c r="E23" s="511">
        <f t="shared" ref="E23:H23" si="9">SUM(E15:E22)</f>
        <v>13.897623636079905</v>
      </c>
      <c r="F23" s="511">
        <f t="shared" si="9"/>
        <v>0</v>
      </c>
      <c r="G23" s="511">
        <f t="shared" si="9"/>
        <v>0</v>
      </c>
      <c r="H23" s="511">
        <f t="shared" si="9"/>
        <v>0</v>
      </c>
      <c r="J23" s="352"/>
      <c r="K23" s="352"/>
      <c r="L23" s="352"/>
      <c r="M23" s="352"/>
      <c r="N23" s="352"/>
      <c r="O23" s="352"/>
      <c r="P23" s="352"/>
      <c r="Q23" s="352"/>
    </row>
    <row r="24" spans="1:32" ht="15" customHeight="1">
      <c r="B24" s="972" t="s">
        <v>1446</v>
      </c>
      <c r="C24" s="973"/>
      <c r="D24" s="511">
        <f>D11+D14+D23</f>
        <v>440.46789234737361</v>
      </c>
      <c r="E24" s="511">
        <f t="shared" ref="E24:H24" si="10">E11+E14+E23</f>
        <v>63.599641426832576</v>
      </c>
      <c r="F24" s="511">
        <f t="shared" si="10"/>
        <v>6.8768004749819074</v>
      </c>
      <c r="G24" s="511">
        <f t="shared" si="10"/>
        <v>0</v>
      </c>
      <c r="H24" s="511">
        <f t="shared" si="10"/>
        <v>0</v>
      </c>
      <c r="J24" s="352"/>
      <c r="K24" s="352"/>
      <c r="L24" s="352"/>
      <c r="M24" s="352"/>
      <c r="N24" s="352"/>
      <c r="O24" s="352"/>
      <c r="P24" s="352"/>
      <c r="Q24" s="352"/>
      <c r="S24" s="396"/>
      <c r="T24" s="396"/>
      <c r="U24" s="396"/>
      <c r="V24" s="396"/>
      <c r="W24" s="396"/>
    </row>
    <row r="25" spans="1:32" ht="15" customHeight="1">
      <c r="J25" s="352"/>
      <c r="K25" s="352"/>
      <c r="L25" s="352"/>
      <c r="M25" s="352"/>
      <c r="N25" s="352"/>
      <c r="O25" s="352"/>
      <c r="P25" s="352"/>
      <c r="Q25" s="352"/>
      <c r="S25" s="396"/>
      <c r="T25" s="396"/>
      <c r="U25" s="396"/>
      <c r="V25" s="396"/>
      <c r="W25" s="396"/>
    </row>
    <row r="26" spans="1:32" ht="15" customHeight="1">
      <c r="B26" s="387" t="s">
        <v>2237</v>
      </c>
      <c r="C26" s="455"/>
      <c r="D26" s="774" t="e">
        <f>D24/Organisatsioon!C33</f>
        <v>#DIV/0!</v>
      </c>
      <c r="E26" s="774" t="e">
        <f>E24/Organisatsioon!C34</f>
        <v>#DIV/0!</v>
      </c>
      <c r="F26" s="774" t="e">
        <f>F24/Organisatsioon!C35</f>
        <v>#DIV/0!</v>
      </c>
      <c r="G26" s="774" t="e">
        <f>G24/Organisatsioon!C36</f>
        <v>#DIV/0!</v>
      </c>
      <c r="H26" s="774" t="e">
        <f>H24/Organisatsioon!C37</f>
        <v>#DIV/0!</v>
      </c>
      <c r="J26" s="352"/>
      <c r="K26" s="352"/>
      <c r="L26" s="352"/>
      <c r="M26" s="352"/>
      <c r="N26" s="352"/>
      <c r="O26" s="352"/>
      <c r="P26" s="352"/>
      <c r="Q26" s="352"/>
      <c r="S26" s="396"/>
      <c r="T26" s="396"/>
      <c r="U26" s="396"/>
      <c r="V26" s="396"/>
      <c r="W26" s="396"/>
    </row>
    <row r="27" spans="1:32" ht="15" customHeight="1">
      <c r="B27" s="979" t="s">
        <v>2297</v>
      </c>
      <c r="C27" s="979"/>
      <c r="D27" s="978" t="e">
        <f>D24/Organisatsioon!E33</f>
        <v>#DIV/0!</v>
      </c>
      <c r="E27" s="978" t="e">
        <f>E24/Organisatsioon!E34</f>
        <v>#DIV/0!</v>
      </c>
      <c r="F27" s="978" t="e">
        <f>F24/Organisatsioon!E35</f>
        <v>#DIV/0!</v>
      </c>
      <c r="G27" s="978" t="e">
        <f>G24/Organisatsioon!E36</f>
        <v>#DIV/0!</v>
      </c>
      <c r="H27" s="978" t="e">
        <f>H24/Organisatsioon!E37</f>
        <v>#DIV/0!</v>
      </c>
      <c r="J27" s="352"/>
      <c r="K27" s="352"/>
      <c r="L27" s="352"/>
      <c r="M27" s="352"/>
      <c r="N27" s="352"/>
      <c r="O27" s="352"/>
      <c r="P27" s="352"/>
      <c r="Q27" s="352"/>
      <c r="S27" s="396"/>
      <c r="T27" s="396"/>
      <c r="U27" s="396"/>
      <c r="V27" s="396"/>
      <c r="W27" s="396"/>
    </row>
    <row r="28" spans="1:32" ht="15" customHeight="1">
      <c r="B28" s="979"/>
      <c r="C28" s="979"/>
      <c r="D28" s="978"/>
      <c r="E28" s="978"/>
      <c r="F28" s="978"/>
      <c r="G28" s="978"/>
      <c r="H28" s="978"/>
      <c r="J28" s="352"/>
      <c r="K28" s="352"/>
      <c r="L28" s="352"/>
      <c r="M28" s="352"/>
      <c r="N28" s="352"/>
      <c r="O28" s="352"/>
      <c r="P28" s="352"/>
      <c r="Q28" s="352"/>
      <c r="S28" s="396"/>
      <c r="T28" s="396"/>
      <c r="U28" s="396"/>
      <c r="V28" s="396"/>
      <c r="W28" s="396"/>
    </row>
    <row r="29" spans="1:32" ht="15" customHeight="1" thickBot="1">
      <c r="B29" s="513"/>
      <c r="C29" s="513"/>
      <c r="D29" s="514"/>
      <c r="E29" s="514"/>
      <c r="F29" s="514"/>
      <c r="G29" s="514"/>
      <c r="H29" s="514"/>
      <c r="J29" s="352"/>
      <c r="K29" s="352"/>
      <c r="L29" s="352"/>
      <c r="M29" s="352"/>
      <c r="N29" s="352"/>
      <c r="O29" s="352"/>
      <c r="P29" s="352"/>
      <c r="Q29" s="352"/>
    </row>
    <row r="30" spans="1:32" ht="15" customHeight="1" thickTop="1" thickBot="1">
      <c r="J30" s="352"/>
      <c r="K30" s="352"/>
      <c r="L30" s="352"/>
      <c r="N30" s="970" t="s">
        <v>1903</v>
      </c>
      <c r="O30" s="971"/>
      <c r="P30" s="512">
        <v>2021</v>
      </c>
      <c r="Q30" s="352"/>
    </row>
    <row r="31" spans="1:32" ht="15" customHeight="1" thickTop="1" thickBot="1">
      <c r="A31" s="297"/>
      <c r="B31" s="502" t="s">
        <v>1594</v>
      </c>
      <c r="C31" s="515">
        <f>Organisatsioon!$C$43</f>
        <v>0</v>
      </c>
      <c r="J31" s="352"/>
      <c r="K31" s="352"/>
      <c r="L31" s="352"/>
      <c r="M31" s="352"/>
      <c r="N31" s="352"/>
      <c r="O31" s="352"/>
      <c r="P31" s="352"/>
      <c r="Q31" s="352"/>
    </row>
    <row r="32" spans="1:32" ht="15" customHeight="1" thickTop="1">
      <c r="A32" s="297"/>
      <c r="J32" s="352"/>
      <c r="K32" s="352"/>
      <c r="L32" s="352"/>
      <c r="M32" s="352"/>
      <c r="N32" s="352"/>
      <c r="O32" s="352"/>
      <c r="P32" s="352"/>
      <c r="Q32" s="352"/>
    </row>
    <row r="33" spans="1:25" ht="15" customHeight="1">
      <c r="A33" s="295"/>
      <c r="B33" s="503" t="s">
        <v>2076</v>
      </c>
      <c r="C33" s="503"/>
      <c r="D33" s="503"/>
      <c r="E33" s="503"/>
      <c r="F33" s="503"/>
      <c r="G33" s="503"/>
      <c r="H33" s="503"/>
      <c r="J33" s="352"/>
      <c r="K33" s="352"/>
      <c r="L33" s="352"/>
      <c r="M33" s="352"/>
      <c r="N33" s="352"/>
      <c r="O33" s="352"/>
      <c r="P33" s="352"/>
      <c r="Q33" s="352"/>
    </row>
    <row r="34" spans="1:25" ht="15" customHeight="1">
      <c r="A34" s="297"/>
      <c r="B34" s="349" t="s">
        <v>61</v>
      </c>
      <c r="C34" s="504" t="s">
        <v>134</v>
      </c>
      <c r="D34" s="505">
        <f>Organisatsioon!$B$23</f>
        <v>2021</v>
      </c>
      <c r="E34" s="505">
        <f>Organisatsioon!$B$24</f>
        <v>2022</v>
      </c>
      <c r="F34" s="505">
        <f>Organisatsioon!$B$25</f>
        <v>2023</v>
      </c>
      <c r="G34" s="505">
        <f>Organisatsioon!$B$26</f>
        <v>0</v>
      </c>
      <c r="H34" s="505">
        <f>Organisatsioon!$B$27</f>
        <v>0</v>
      </c>
      <c r="J34" s="352"/>
      <c r="K34" s="352"/>
      <c r="L34" s="352"/>
      <c r="M34" s="352"/>
      <c r="N34" s="352"/>
      <c r="O34" s="352"/>
      <c r="P34" s="352"/>
      <c r="Q34" s="352"/>
    </row>
    <row r="35" spans="1:25" ht="15" customHeight="1">
      <c r="A35" s="297"/>
      <c r="B35" s="975" t="s">
        <v>13</v>
      </c>
      <c r="C35" s="332" t="s">
        <v>2231</v>
      </c>
      <c r="D35" s="507">
        <f>'M1-Energia'!$L$47</f>
        <v>38.451874727625452</v>
      </c>
      <c r="E35" s="507">
        <f>'M1-Energia'!Y47</f>
        <v>4.1867769475060664E-2</v>
      </c>
      <c r="F35" s="507">
        <f>'M1-Energia'!AL47</f>
        <v>0</v>
      </c>
      <c r="G35" s="507"/>
      <c r="H35" s="507"/>
      <c r="J35" s="352"/>
      <c r="K35" s="352"/>
      <c r="L35" s="352"/>
      <c r="M35" s="352"/>
      <c r="N35" s="352"/>
      <c r="O35" s="352"/>
      <c r="P35" s="352"/>
      <c r="Q35" s="352"/>
      <c r="Y35" s="506"/>
    </row>
    <row r="36" spans="1:25" ht="15" customHeight="1">
      <c r="A36" s="297"/>
      <c r="B36" s="976"/>
      <c r="C36" s="332" t="s">
        <v>2230</v>
      </c>
      <c r="D36" s="507">
        <f>'M1-Sõidukid'!$L$94</f>
        <v>14.587648399187154</v>
      </c>
      <c r="E36" s="507">
        <f>'M1-Sõidukid'!X94</f>
        <v>0</v>
      </c>
      <c r="F36" s="507">
        <f>'M1-Sõidukid'!AJ94</f>
        <v>0</v>
      </c>
      <c r="G36" s="507"/>
      <c r="H36" s="507"/>
      <c r="J36" s="352"/>
      <c r="K36" s="352"/>
      <c r="L36" s="352"/>
      <c r="M36" s="352"/>
      <c r="N36" s="352"/>
      <c r="O36" s="352"/>
      <c r="P36" s="352"/>
      <c r="Q36" s="352"/>
      <c r="Y36" s="508">
        <f ca="1">OFFSET(C11,,MATCH($P$50,$D$7:$H$7,0))</f>
        <v>123.94593635492591</v>
      </c>
    </row>
    <row r="37" spans="1:25" ht="15" customHeight="1">
      <c r="B37" s="977"/>
      <c r="C37" s="332" t="s">
        <v>1445</v>
      </c>
      <c r="D37" s="507">
        <f>'M1-Hajusheitmed'!$I$42</f>
        <v>6.8500000000000005</v>
      </c>
      <c r="E37" s="507">
        <f>'M1-Hajusheitmed'!R42</f>
        <v>1.0589999999999999</v>
      </c>
      <c r="F37" s="507">
        <f>'M1-Hajusheitmed'!AA42</f>
        <v>0</v>
      </c>
      <c r="G37" s="507"/>
      <c r="H37" s="507"/>
      <c r="J37" s="352"/>
      <c r="K37" s="352"/>
      <c r="L37" s="352"/>
      <c r="M37" s="352"/>
      <c r="N37" s="352"/>
      <c r="O37" s="352"/>
      <c r="P37" s="352"/>
      <c r="Q37" s="352"/>
      <c r="Y37" s="508">
        <f ca="1">OFFSET(C14,,MATCH($P$50,$D$7:$H$7,0))</f>
        <v>58.640785730971338</v>
      </c>
    </row>
    <row r="38" spans="1:25" ht="15" customHeight="1">
      <c r="B38" s="509"/>
      <c r="C38" s="510" t="s">
        <v>1817</v>
      </c>
      <c r="D38" s="511">
        <f>SUM(D35:D37)</f>
        <v>59.889523126812605</v>
      </c>
      <c r="E38" s="511">
        <f t="shared" ref="E38:H38" si="11">SUM(E35:E37)</f>
        <v>1.1008677694750606</v>
      </c>
      <c r="F38" s="511">
        <f t="shared" si="11"/>
        <v>0</v>
      </c>
      <c r="G38" s="511">
        <f t="shared" si="11"/>
        <v>0</v>
      </c>
      <c r="H38" s="511">
        <f t="shared" si="11"/>
        <v>0</v>
      </c>
      <c r="J38" s="352"/>
      <c r="K38" s="352"/>
      <c r="L38" s="352"/>
      <c r="M38" s="352"/>
      <c r="N38" s="352"/>
      <c r="O38" s="352"/>
      <c r="P38" s="352"/>
      <c r="Q38" s="352"/>
      <c r="Y38" s="508">
        <f ca="1">OFFSET(C23,,MATCH($P$50,$D$7:$H$7,0))</f>
        <v>257.88117026147637</v>
      </c>
    </row>
    <row r="39" spans="1:25" ht="15" customHeight="1">
      <c r="B39" s="975" t="s">
        <v>19</v>
      </c>
      <c r="C39" s="332" t="s">
        <v>136</v>
      </c>
      <c r="D39" s="507">
        <f>'M2-Ostetud elektrienergia'!K73</f>
        <v>31.829000000000001</v>
      </c>
      <c r="E39" s="507">
        <f>'M2-Ostetud elektrienergia'!V73</f>
        <v>25.972464000000002</v>
      </c>
      <c r="F39" s="507">
        <f>'M2-Ostetud elektrienergia'!AG73</f>
        <v>0.31829000000000002</v>
      </c>
      <c r="G39" s="507"/>
      <c r="H39" s="507"/>
      <c r="J39" s="352"/>
      <c r="K39" s="352"/>
      <c r="L39" s="352"/>
      <c r="M39" s="352"/>
      <c r="N39" s="352"/>
      <c r="O39" s="352"/>
      <c r="P39" s="352"/>
      <c r="Q39" s="352"/>
      <c r="Y39" s="506"/>
    </row>
    <row r="40" spans="1:25" ht="15" customHeight="1">
      <c r="B40" s="977"/>
      <c r="C40" s="332" t="s">
        <v>137</v>
      </c>
      <c r="D40" s="507">
        <f>'M2-Ostetud soojusenergia'!$K$51</f>
        <v>26.493495730971336</v>
      </c>
      <c r="E40" s="507">
        <f>'M2-Ostetud soojusenergia'!V51</f>
        <v>11.058462825812382</v>
      </c>
      <c r="F40" s="507">
        <f>'M2-Ostetud soojusenergia'!AG51</f>
        <v>0</v>
      </c>
      <c r="G40" s="507"/>
      <c r="H40" s="507"/>
      <c r="J40" s="352"/>
      <c r="K40" s="352"/>
      <c r="L40" s="352"/>
      <c r="M40" s="352"/>
      <c r="N40" s="352"/>
      <c r="O40" s="352"/>
      <c r="P40" s="352"/>
      <c r="Q40" s="352"/>
    </row>
    <row r="41" spans="1:25" ht="15" customHeight="1">
      <c r="B41" s="509"/>
      <c r="C41" s="510" t="s">
        <v>1818</v>
      </c>
      <c r="D41" s="511">
        <f>SUM(D39:D40)</f>
        <v>58.32249573097134</v>
      </c>
      <c r="E41" s="511">
        <f t="shared" ref="E41:H41" si="12">SUM(E39:E40)</f>
        <v>37.030926825812386</v>
      </c>
      <c r="F41" s="511">
        <f t="shared" si="12"/>
        <v>0.31829000000000002</v>
      </c>
      <c r="G41" s="511">
        <f t="shared" si="12"/>
        <v>0</v>
      </c>
      <c r="H41" s="511">
        <f t="shared" si="12"/>
        <v>0</v>
      </c>
      <c r="J41" s="352"/>
      <c r="K41" s="352"/>
      <c r="L41" s="352"/>
      <c r="M41" s="352"/>
      <c r="N41" s="352"/>
      <c r="O41" s="352"/>
      <c r="P41" s="352"/>
      <c r="Q41" s="352"/>
    </row>
    <row r="42" spans="1:25" ht="15" customHeight="1">
      <c r="B42" s="975" t="s">
        <v>20</v>
      </c>
      <c r="C42" s="332" t="s">
        <v>2234</v>
      </c>
      <c r="D42" s="507">
        <f>'M3-Transport'!M196</f>
        <v>151.54705510582181</v>
      </c>
      <c r="E42" s="507">
        <f>'M3-Transport'!AE196</f>
        <v>11.554284900314091</v>
      </c>
      <c r="F42" s="507">
        <f>'M3-Transport'!AW196</f>
        <v>0</v>
      </c>
      <c r="G42" s="507"/>
      <c r="H42" s="507"/>
      <c r="J42" s="352"/>
      <c r="K42" s="352"/>
      <c r="L42" s="352"/>
      <c r="M42" s="352"/>
      <c r="N42" s="352"/>
      <c r="O42" s="352"/>
      <c r="P42" s="352"/>
      <c r="Q42" s="352"/>
    </row>
    <row r="43" spans="1:25" ht="15" customHeight="1">
      <c r="B43" s="976"/>
      <c r="C43" s="332" t="s">
        <v>2235</v>
      </c>
      <c r="D43" s="507">
        <f>'M3-Tööreisid'!$K$71</f>
        <v>0.75140594126060956</v>
      </c>
      <c r="E43" s="507">
        <f>'M3-Tööreisid'!V71</f>
        <v>0.86427833341022708</v>
      </c>
      <c r="F43" s="507">
        <f>'M3-Tööreisid'!AG71</f>
        <v>0</v>
      </c>
      <c r="G43" s="507"/>
      <c r="H43" s="507"/>
      <c r="J43" s="352"/>
      <c r="K43" s="352"/>
      <c r="L43" s="352"/>
      <c r="M43" s="352"/>
      <c r="N43" s="352"/>
      <c r="O43" s="352"/>
      <c r="P43" s="352"/>
      <c r="Q43" s="352"/>
      <c r="Y43" s="506"/>
    </row>
    <row r="44" spans="1:25" ht="15" customHeight="1">
      <c r="B44" s="976"/>
      <c r="C44" s="332" t="s">
        <v>2236</v>
      </c>
      <c r="D44" s="507">
        <f>'M3-Tööle-koju'!$K$70</f>
        <v>0.38129022978818417</v>
      </c>
      <c r="E44" s="507">
        <f>'M3-Tööle-koju'!V70</f>
        <v>0.80871226444536581</v>
      </c>
      <c r="F44" s="507">
        <f>'M3-Tööle-koju'!AG70</f>
        <v>0</v>
      </c>
      <c r="G44" s="507"/>
      <c r="H44" s="507"/>
      <c r="J44" s="352"/>
      <c r="K44" s="352"/>
      <c r="L44" s="352"/>
      <c r="M44" s="352"/>
      <c r="N44" s="352"/>
      <c r="O44" s="352"/>
      <c r="P44" s="352"/>
      <c r="Q44" s="352"/>
      <c r="Y44" s="506"/>
    </row>
    <row r="45" spans="1:25" ht="15" customHeight="1">
      <c r="B45" s="976"/>
      <c r="C45" s="332" t="s">
        <v>138</v>
      </c>
      <c r="D45" s="507">
        <f>'M3-Jäätmed'!$N$55</f>
        <v>1.3259827904710952</v>
      </c>
      <c r="E45" s="507">
        <f>'M3-Jäätmed'!AB55</f>
        <v>0.62</v>
      </c>
      <c r="F45" s="507">
        <f>'M3-Jäätmed'!AP55</f>
        <v>0</v>
      </c>
      <c r="G45" s="507"/>
      <c r="H45" s="507"/>
      <c r="J45" s="352"/>
      <c r="K45" s="352"/>
      <c r="L45" s="352"/>
      <c r="M45" s="352"/>
      <c r="N45" s="352"/>
      <c r="O45" s="352"/>
      <c r="P45" s="352"/>
      <c r="Q45" s="352"/>
      <c r="Y45" s="506"/>
    </row>
    <row r="46" spans="1:25" ht="15" customHeight="1">
      <c r="A46" s="297"/>
      <c r="B46" s="976"/>
      <c r="C46" s="332" t="s">
        <v>1573</v>
      </c>
      <c r="D46" s="507">
        <f>'M3-Ostetud tooted'!$M$43</f>
        <v>0.50384099999999998</v>
      </c>
      <c r="E46" s="507">
        <f>'M3-Ostetud tooted'!Z43</f>
        <v>0</v>
      </c>
      <c r="F46" s="507">
        <f>'M3-Ostetud tooted'!AM43</f>
        <v>0</v>
      </c>
      <c r="G46" s="507"/>
      <c r="H46" s="507"/>
      <c r="J46" s="352"/>
      <c r="K46" s="352"/>
      <c r="O46" s="352"/>
      <c r="P46" s="352"/>
      <c r="Q46" s="352"/>
      <c r="Y46" s="506"/>
    </row>
    <row r="47" spans="1:25" ht="15" customHeight="1">
      <c r="A47" s="297"/>
      <c r="B47" s="976"/>
      <c r="C47" s="332" t="s">
        <v>1574</v>
      </c>
      <c r="D47" s="507">
        <f>'M3-Müüdud tooted'!$M$43</f>
        <v>0</v>
      </c>
      <c r="E47" s="507">
        <f>'M3-Müüdud tooted'!Z43</f>
        <v>0</v>
      </c>
      <c r="F47" s="507">
        <f>'M3-Müüdud tooted'!AM43</f>
        <v>0</v>
      </c>
      <c r="G47" s="507"/>
      <c r="H47" s="507"/>
      <c r="J47" s="352"/>
      <c r="K47" s="352"/>
      <c r="L47" s="352"/>
      <c r="M47" s="352"/>
      <c r="N47" s="352"/>
      <c r="O47" s="352"/>
      <c r="P47" s="352"/>
      <c r="Q47" s="352"/>
      <c r="Y47" s="506"/>
    </row>
    <row r="48" spans="1:25" ht="15" customHeight="1">
      <c r="B48" s="976"/>
      <c r="C48" s="332" t="s">
        <v>139</v>
      </c>
      <c r="D48" s="507">
        <f>'M3-Finantsinvesteeringud'!$P$53</f>
        <v>0</v>
      </c>
      <c r="E48" s="507">
        <f>'M3-Finantsinvesteeringud'!AF53</f>
        <v>0</v>
      </c>
      <c r="F48" s="507">
        <f>'M3-Finantsinvesteeringud'!AV53</f>
        <v>0</v>
      </c>
      <c r="G48" s="507"/>
      <c r="H48" s="507"/>
      <c r="J48" s="352"/>
      <c r="K48" s="352"/>
      <c r="Q48" s="352"/>
      <c r="Y48" s="506"/>
    </row>
    <row r="49" spans="1:25" ht="15" customHeight="1" thickBot="1">
      <c r="B49" s="977"/>
      <c r="C49" s="332" t="s">
        <v>2299</v>
      </c>
      <c r="D49" s="507">
        <f>'M3-Sõidukikütused'!$K$66</f>
        <v>1.1240000000000001</v>
      </c>
      <c r="E49" s="507">
        <f>'M3-Sõidukikütused'!V66</f>
        <v>0</v>
      </c>
      <c r="F49" s="507">
        <f>'M3-Sõidukikütused'!AG66</f>
        <v>0</v>
      </c>
      <c r="G49" s="507"/>
      <c r="H49" s="507"/>
      <c r="J49" s="352"/>
      <c r="K49" s="352"/>
      <c r="O49" s="352"/>
      <c r="P49" s="352"/>
      <c r="Q49" s="352"/>
      <c r="Y49" s="506"/>
    </row>
    <row r="50" spans="1:25" ht="15" customHeight="1" thickTop="1" thickBot="1">
      <c r="B50" s="509"/>
      <c r="C50" s="510" t="s">
        <v>1819</v>
      </c>
      <c r="D50" s="511">
        <f>SUM(D42:D49)</f>
        <v>155.6335750673417</v>
      </c>
      <c r="E50" s="511">
        <f t="shared" ref="E50:H50" si="13">SUM(E42:E49)</f>
        <v>13.847275498169681</v>
      </c>
      <c r="F50" s="511">
        <f t="shared" si="13"/>
        <v>0</v>
      </c>
      <c r="G50" s="511">
        <f t="shared" si="13"/>
        <v>0</v>
      </c>
      <c r="H50" s="511">
        <f t="shared" si="13"/>
        <v>0</v>
      </c>
      <c r="J50" s="352"/>
      <c r="K50" s="352"/>
      <c r="L50" s="352"/>
      <c r="M50" s="352"/>
      <c r="N50" s="970" t="s">
        <v>1903</v>
      </c>
      <c r="O50" s="971"/>
      <c r="P50" s="512">
        <v>2021</v>
      </c>
      <c r="Q50" s="352"/>
    </row>
    <row r="51" spans="1:25" ht="15" customHeight="1" thickTop="1">
      <c r="B51" s="972" t="s">
        <v>1446</v>
      </c>
      <c r="C51" s="973"/>
      <c r="D51" s="511">
        <f>D38+D41+D50</f>
        <v>273.84559392512563</v>
      </c>
      <c r="E51" s="511">
        <f t="shared" ref="E51:H51" si="14">E38+E41+E50</f>
        <v>51.979070093457125</v>
      </c>
      <c r="F51" s="511">
        <f t="shared" si="14"/>
        <v>0.31829000000000002</v>
      </c>
      <c r="G51" s="511">
        <f t="shared" si="14"/>
        <v>0</v>
      </c>
      <c r="H51" s="511">
        <f t="shared" si="14"/>
        <v>0</v>
      </c>
      <c r="J51" s="352"/>
      <c r="K51" s="352"/>
      <c r="L51" s="352"/>
      <c r="M51" s="352"/>
      <c r="N51" s="352"/>
      <c r="O51" s="352"/>
      <c r="P51" s="352"/>
      <c r="Q51" s="352"/>
      <c r="Y51" s="508"/>
    </row>
    <row r="52" spans="1:25" ht="15" customHeight="1">
      <c r="A52" s="297"/>
      <c r="J52" s="352"/>
      <c r="K52" s="352"/>
      <c r="L52" s="352"/>
      <c r="M52" s="352"/>
      <c r="N52" s="352"/>
      <c r="O52" s="352"/>
      <c r="P52" s="352"/>
      <c r="Q52" s="352"/>
    </row>
    <row r="53" spans="1:25" ht="15" customHeight="1" thickBot="1">
      <c r="A53" s="297"/>
      <c r="J53" s="352"/>
      <c r="K53" s="352"/>
      <c r="L53" s="352"/>
      <c r="M53" s="352"/>
      <c r="N53" s="352"/>
      <c r="O53" s="352"/>
      <c r="P53" s="352"/>
      <c r="Q53" s="352"/>
    </row>
    <row r="54" spans="1:25" ht="15" customHeight="1" thickTop="1" thickBot="1">
      <c r="A54" s="297"/>
      <c r="B54" s="502" t="s">
        <v>1595</v>
      </c>
      <c r="C54" s="515">
        <f>Organisatsioon!$C$44</f>
        <v>0</v>
      </c>
      <c r="J54" s="352"/>
      <c r="K54" s="352"/>
      <c r="L54" s="352"/>
      <c r="M54" s="352"/>
      <c r="N54" s="352"/>
      <c r="O54" s="352"/>
      <c r="P54" s="352"/>
      <c r="Q54" s="352"/>
    </row>
    <row r="55" spans="1:25" ht="15" customHeight="1" thickTop="1">
      <c r="A55" s="297"/>
      <c r="J55" s="352"/>
      <c r="K55" s="352"/>
      <c r="L55" s="352"/>
      <c r="M55" s="352"/>
      <c r="N55" s="352"/>
      <c r="O55" s="352"/>
      <c r="P55" s="352"/>
      <c r="Q55" s="352"/>
    </row>
    <row r="56" spans="1:25" ht="15" customHeight="1">
      <c r="A56" s="295"/>
      <c r="B56" s="503" t="s">
        <v>2076</v>
      </c>
      <c r="C56" s="503"/>
      <c r="D56" s="503"/>
      <c r="E56" s="503"/>
      <c r="F56" s="503"/>
      <c r="G56" s="503"/>
      <c r="H56" s="503"/>
      <c r="J56" s="352"/>
      <c r="K56" s="352"/>
      <c r="O56" s="352"/>
      <c r="P56" s="352"/>
      <c r="Q56" s="352"/>
    </row>
    <row r="57" spans="1:25" ht="15" customHeight="1">
      <c r="A57" s="297"/>
      <c r="B57" s="349" t="s">
        <v>61</v>
      </c>
      <c r="C57" s="504" t="s">
        <v>134</v>
      </c>
      <c r="D57" s="505">
        <f>Organisatsioon!$B$23</f>
        <v>2021</v>
      </c>
      <c r="E57" s="505">
        <f>Organisatsioon!$B$24</f>
        <v>2022</v>
      </c>
      <c r="F57" s="505">
        <f>Organisatsioon!$B$25</f>
        <v>2023</v>
      </c>
      <c r="G57" s="505">
        <f>Organisatsioon!$B$26</f>
        <v>0</v>
      </c>
      <c r="H57" s="505">
        <f>Organisatsioon!$B$27</f>
        <v>0</v>
      </c>
      <c r="J57" s="352"/>
      <c r="K57" s="352"/>
      <c r="L57" s="352"/>
      <c r="M57" s="352"/>
      <c r="N57" s="352"/>
      <c r="O57" s="352"/>
      <c r="P57" s="352"/>
      <c r="Q57" s="352"/>
    </row>
    <row r="58" spans="1:25" ht="15" customHeight="1">
      <c r="A58" s="297"/>
      <c r="B58" s="975" t="s">
        <v>13</v>
      </c>
      <c r="C58" s="332" t="s">
        <v>2231</v>
      </c>
      <c r="D58" s="507">
        <f>'M1-Energia'!$L$48</f>
        <v>20.5</v>
      </c>
      <c r="E58" s="507">
        <f>'M1-Energia'!Y48</f>
        <v>6.4165432311442179E-4</v>
      </c>
      <c r="F58" s="507">
        <f>'M1-Energia'!AL48</f>
        <v>5.0663519364779286E-4</v>
      </c>
      <c r="G58" s="507"/>
      <c r="H58" s="507"/>
      <c r="J58" s="352"/>
      <c r="K58" s="352"/>
      <c r="L58" s="352"/>
      <c r="M58" s="352"/>
      <c r="N58" s="352"/>
      <c r="O58" s="352"/>
      <c r="P58" s="352"/>
      <c r="Q58" s="352"/>
    </row>
    <row r="59" spans="1:25" ht="15" customHeight="1">
      <c r="A59" s="297"/>
      <c r="B59" s="976"/>
      <c r="C59" s="332" t="s">
        <v>2230</v>
      </c>
      <c r="D59" s="507">
        <f>'M1-Sõidukid'!$L$95</f>
        <v>7.7106124881411322</v>
      </c>
      <c r="E59" s="507">
        <f>'M1-Sõidukid'!X95</f>
        <v>0</v>
      </c>
      <c r="F59" s="507">
        <f>'M1-Sõidukid'!AJ95</f>
        <v>0</v>
      </c>
      <c r="G59" s="507"/>
      <c r="H59" s="507"/>
      <c r="J59" s="352"/>
      <c r="K59" s="352"/>
      <c r="L59" s="352"/>
      <c r="M59" s="352"/>
      <c r="N59" s="352"/>
      <c r="O59" s="352"/>
      <c r="P59" s="352"/>
      <c r="Q59" s="352"/>
      <c r="Y59" s="508"/>
    </row>
    <row r="60" spans="1:25" ht="15" customHeight="1">
      <c r="B60" s="977"/>
      <c r="C60" s="332" t="s">
        <v>1445</v>
      </c>
      <c r="D60" s="507">
        <f>'M1-Hajusheitmed'!$I$43</f>
        <v>14.835000000000001</v>
      </c>
      <c r="E60" s="507">
        <f>'M1-Hajusheitmed'!R43</f>
        <v>0</v>
      </c>
      <c r="F60" s="507">
        <f>'M1-Hajusheitmed'!AA43</f>
        <v>4.8000000000000001E-2</v>
      </c>
      <c r="G60" s="507"/>
      <c r="H60" s="507"/>
      <c r="J60" s="352"/>
      <c r="K60" s="352"/>
      <c r="L60" s="352"/>
      <c r="M60" s="352"/>
      <c r="N60" s="352"/>
      <c r="O60" s="352"/>
      <c r="P60" s="352"/>
      <c r="Q60" s="352"/>
    </row>
    <row r="61" spans="1:25" ht="15" customHeight="1">
      <c r="B61" s="509"/>
      <c r="C61" s="510" t="s">
        <v>1817</v>
      </c>
      <c r="D61" s="511">
        <f>SUM(D58:D60)</f>
        <v>43.045612488141131</v>
      </c>
      <c r="E61" s="511">
        <f t="shared" ref="E61:H61" si="15">SUM(E58:E60)</f>
        <v>6.4165432311442179E-4</v>
      </c>
      <c r="F61" s="511">
        <f t="shared" si="15"/>
        <v>4.8506635193647792E-2</v>
      </c>
      <c r="G61" s="511">
        <f t="shared" si="15"/>
        <v>0</v>
      </c>
      <c r="H61" s="511">
        <f t="shared" si="15"/>
        <v>0</v>
      </c>
      <c r="J61" s="352"/>
      <c r="K61" s="352"/>
      <c r="L61" s="352"/>
      <c r="M61" s="352"/>
      <c r="N61" s="352"/>
      <c r="O61" s="352"/>
      <c r="P61" s="352"/>
      <c r="Q61" s="352"/>
    </row>
    <row r="62" spans="1:25" ht="15" customHeight="1">
      <c r="B62" s="975" t="s">
        <v>19</v>
      </c>
      <c r="C62" s="332" t="s">
        <v>136</v>
      </c>
      <c r="D62" s="507">
        <f>'M2-Ostetud elektrienergia'!$K$74</f>
        <v>0.31829000000000002</v>
      </c>
      <c r="E62" s="507">
        <f>'M2-Ostetud elektrienergia'!V74</f>
        <v>0</v>
      </c>
      <c r="F62" s="507">
        <f>'M2-Ostetud elektrienergia'!AG74</f>
        <v>0.12731600000000001</v>
      </c>
      <c r="G62" s="507"/>
      <c r="H62" s="507"/>
      <c r="J62" s="352"/>
      <c r="K62" s="352"/>
      <c r="L62" s="352"/>
      <c r="M62" s="352"/>
      <c r="N62" s="352"/>
      <c r="O62" s="352"/>
      <c r="P62" s="352"/>
      <c r="Q62" s="352"/>
    </row>
    <row r="63" spans="1:25" ht="15" customHeight="1">
      <c r="B63" s="977"/>
      <c r="C63" s="332" t="s">
        <v>137</v>
      </c>
      <c r="D63" s="507">
        <f>'M2-Ostetud soojusenergia'!$K$52</f>
        <v>0</v>
      </c>
      <c r="E63" s="507">
        <f>'M2-Ostetud soojusenergia'!V52</f>
        <v>6.9676471054976012</v>
      </c>
      <c r="F63" s="507">
        <f>'M2-Ostetud soojusenergia'!AG52</f>
        <v>0</v>
      </c>
      <c r="G63" s="507"/>
      <c r="H63" s="507"/>
      <c r="J63" s="352"/>
      <c r="K63" s="352"/>
      <c r="L63" s="352"/>
      <c r="M63" s="352"/>
      <c r="N63" s="352"/>
      <c r="O63" s="352"/>
      <c r="P63" s="352"/>
      <c r="Q63" s="352"/>
      <c r="Y63" s="508"/>
    </row>
    <row r="64" spans="1:25" ht="15" customHeight="1">
      <c r="B64" s="509"/>
      <c r="C64" s="510" t="s">
        <v>1818</v>
      </c>
      <c r="D64" s="511">
        <f>SUM(D62:D63)</f>
        <v>0.31829000000000002</v>
      </c>
      <c r="E64" s="511">
        <f t="shared" ref="E64:H64" si="16">SUM(E62:E63)</f>
        <v>6.9676471054976012</v>
      </c>
      <c r="F64" s="511">
        <f t="shared" si="16"/>
        <v>0.12731600000000001</v>
      </c>
      <c r="G64" s="511">
        <f t="shared" si="16"/>
        <v>0</v>
      </c>
      <c r="H64" s="511">
        <f t="shared" si="16"/>
        <v>0</v>
      </c>
      <c r="J64" s="352"/>
      <c r="K64" s="352"/>
      <c r="L64" s="352"/>
      <c r="M64" s="352"/>
      <c r="N64" s="352"/>
      <c r="O64" s="352"/>
      <c r="P64" s="352"/>
      <c r="Q64" s="352"/>
      <c r="Y64" s="508"/>
    </row>
    <row r="65" spans="1:25" ht="15" customHeight="1">
      <c r="B65" s="975" t="s">
        <v>20</v>
      </c>
      <c r="C65" s="332" t="s">
        <v>2234</v>
      </c>
      <c r="D65" s="507">
        <f>'M3-Transport'!$M$197</f>
        <v>26.750931673289372</v>
      </c>
      <c r="E65" s="507">
        <f>'M3-Transport'!AE197</f>
        <v>0</v>
      </c>
      <c r="F65" s="507">
        <f>'M3-Transport'!AW197</f>
        <v>0</v>
      </c>
      <c r="G65" s="507"/>
      <c r="H65" s="507"/>
      <c r="J65" s="352"/>
      <c r="K65" s="352"/>
      <c r="L65" s="352"/>
      <c r="M65" s="352"/>
      <c r="N65" s="352"/>
      <c r="O65" s="352"/>
      <c r="P65" s="352"/>
      <c r="Q65" s="352"/>
      <c r="Y65" s="508"/>
    </row>
    <row r="66" spans="1:25" ht="15" customHeight="1">
      <c r="B66" s="976"/>
      <c r="C66" s="332" t="s">
        <v>2235</v>
      </c>
      <c r="D66" s="507">
        <f>'M3-Tööreisid'!$K$72</f>
        <v>1.5557010001384087E-2</v>
      </c>
      <c r="E66" s="507">
        <f>'M3-Tööreisid'!V72</f>
        <v>3.2294150002306808E-2</v>
      </c>
      <c r="F66" s="507">
        <f>'M3-Tööreisid'!AG72</f>
        <v>0</v>
      </c>
      <c r="G66" s="507"/>
      <c r="H66" s="507"/>
      <c r="J66" s="352"/>
      <c r="K66" s="352"/>
      <c r="L66" s="352"/>
      <c r="M66" s="352"/>
      <c r="N66" s="352"/>
      <c r="O66" s="352"/>
      <c r="P66" s="352"/>
      <c r="Q66" s="352"/>
      <c r="Y66" s="508"/>
    </row>
    <row r="67" spans="1:25" ht="15" customHeight="1">
      <c r="B67" s="976"/>
      <c r="C67" s="332" t="s">
        <v>2236</v>
      </c>
      <c r="D67" s="507">
        <f>'M3-Tööle-koju'!$K$71</f>
        <v>0.18156916221755415</v>
      </c>
      <c r="E67" s="507">
        <f>'M3-Tööle-koju'!V71</f>
        <v>1.8053987907914803E-2</v>
      </c>
      <c r="F67" s="507">
        <f>'M3-Tööle-koju'!AG71</f>
        <v>0</v>
      </c>
      <c r="G67" s="507"/>
      <c r="H67" s="507"/>
      <c r="J67" s="352"/>
      <c r="K67" s="352"/>
      <c r="L67" s="352"/>
      <c r="M67" s="352"/>
      <c r="N67" s="352"/>
      <c r="O67" s="352"/>
      <c r="P67" s="352"/>
      <c r="Q67" s="352"/>
      <c r="Y67" s="508"/>
    </row>
    <row r="68" spans="1:25" ht="15" customHeight="1">
      <c r="B68" s="976"/>
      <c r="C68" s="332" t="s">
        <v>138</v>
      </c>
      <c r="D68" s="507">
        <f>'M3-Jäätmed'!$N$56</f>
        <v>1.2</v>
      </c>
      <c r="E68" s="507">
        <f>'M3-Jäätmed'!AB56</f>
        <v>0</v>
      </c>
      <c r="F68" s="507">
        <f>'M3-Jäätmed'!AP56</f>
        <v>0</v>
      </c>
      <c r="G68" s="507"/>
      <c r="H68" s="507"/>
      <c r="J68" s="352"/>
      <c r="K68" s="352"/>
      <c r="L68" s="352"/>
      <c r="M68" s="352"/>
      <c r="N68" s="352"/>
      <c r="O68" s="352"/>
      <c r="P68" s="352"/>
      <c r="Q68" s="352"/>
      <c r="Y68" s="508"/>
    </row>
    <row r="69" spans="1:25" ht="15" customHeight="1">
      <c r="A69" s="297"/>
      <c r="B69" s="976"/>
      <c r="C69" s="332" t="s">
        <v>1573</v>
      </c>
      <c r="D69" s="507">
        <f>'M3-Ostetud tooted'!$M$44</f>
        <v>0.19700000000000001</v>
      </c>
      <c r="E69" s="507">
        <f>'M3-Ostetud tooted'!Z44</f>
        <v>0</v>
      </c>
      <c r="F69" s="507">
        <f>'M3-Ostetud tooted'!AM44</f>
        <v>0</v>
      </c>
      <c r="G69" s="507"/>
      <c r="H69" s="507"/>
      <c r="J69" s="352"/>
      <c r="K69" s="352"/>
      <c r="L69" s="352"/>
      <c r="M69" s="352"/>
      <c r="N69" s="352"/>
      <c r="O69" s="352"/>
      <c r="P69" s="352"/>
      <c r="Q69" s="352"/>
      <c r="Y69" s="508">
        <f ca="1">OFFSET(C38,,MATCH($P$83,$D$34:$H$34,0))</f>
        <v>59.889523126812605</v>
      </c>
    </row>
    <row r="70" spans="1:25" ht="15" customHeight="1">
      <c r="A70" s="297"/>
      <c r="B70" s="976"/>
      <c r="C70" s="332" t="s">
        <v>1574</v>
      </c>
      <c r="D70" s="507">
        <f>'M3-Müüdud tooted'!$M$44</f>
        <v>0</v>
      </c>
      <c r="E70" s="507">
        <f>'M3-Müüdud tooted'!Z44</f>
        <v>0</v>
      </c>
      <c r="F70" s="507">
        <f>'M3-Müüdud tooted'!AM44</f>
        <v>0</v>
      </c>
      <c r="G70" s="507"/>
      <c r="H70" s="507"/>
      <c r="J70" s="352"/>
      <c r="K70" s="352"/>
      <c r="L70" s="352"/>
      <c r="M70" s="352"/>
      <c r="N70" s="352"/>
      <c r="O70" s="352"/>
      <c r="P70" s="352"/>
      <c r="Q70" s="352"/>
      <c r="Y70" s="508">
        <f ca="1">OFFSET(C41,,MATCH($P$83,$D$34:$H$34,0))</f>
        <v>58.32249573097134</v>
      </c>
    </row>
    <row r="71" spans="1:25" ht="15" customHeight="1">
      <c r="B71" s="976"/>
      <c r="C71" s="332" t="s">
        <v>139</v>
      </c>
      <c r="D71" s="507">
        <f>'M3-Finantsinvesteeringud'!$P$54</f>
        <v>0</v>
      </c>
      <c r="E71" s="507">
        <f>'M3-Finantsinvesteeringud'!AF54</f>
        <v>0</v>
      </c>
      <c r="F71" s="507">
        <f>'M3-Finantsinvesteeringud'!AV54</f>
        <v>0</v>
      </c>
      <c r="G71" s="507"/>
      <c r="H71" s="507"/>
      <c r="J71" s="352"/>
      <c r="K71" s="352"/>
      <c r="L71" s="352"/>
      <c r="M71" s="352"/>
      <c r="N71" s="352"/>
      <c r="O71" s="352"/>
      <c r="P71" s="352"/>
      <c r="Q71" s="352"/>
      <c r="Y71" s="508">
        <f ca="1">OFFSET(C50,,MATCH($P$83,$D$34:$H$34,0))</f>
        <v>155.6335750673417</v>
      </c>
    </row>
    <row r="72" spans="1:25" ht="15" customHeight="1">
      <c r="B72" s="977"/>
      <c r="C72" s="332" t="s">
        <v>2299</v>
      </c>
      <c r="D72" s="507">
        <f>'M3-Sõidukikütused'!$K$67</f>
        <v>0.28320000000000001</v>
      </c>
      <c r="E72" s="507">
        <f>'M3-Sõidukikütused'!V67</f>
        <v>0</v>
      </c>
      <c r="F72" s="507">
        <f>'M3-Sõidukikütused'!AG67</f>
        <v>0</v>
      </c>
      <c r="G72" s="507"/>
      <c r="H72" s="507"/>
      <c r="J72" s="352"/>
      <c r="K72" s="352"/>
      <c r="L72" s="352"/>
      <c r="M72" s="352"/>
      <c r="N72" s="352"/>
      <c r="O72" s="352"/>
      <c r="P72" s="352"/>
      <c r="Q72" s="352"/>
      <c r="Y72" s="508"/>
    </row>
    <row r="73" spans="1:25" ht="15" customHeight="1">
      <c r="B73" s="509"/>
      <c r="C73" s="510" t="s">
        <v>1819</v>
      </c>
      <c r="D73" s="511">
        <f>SUM(D65:D72)</f>
        <v>28.628257845508308</v>
      </c>
      <c r="E73" s="511">
        <f t="shared" ref="E73:H73" si="17">SUM(E65:E72)</f>
        <v>5.0348137910221608E-2</v>
      </c>
      <c r="F73" s="511">
        <f t="shared" si="17"/>
        <v>0</v>
      </c>
      <c r="G73" s="511">
        <f t="shared" si="17"/>
        <v>0</v>
      </c>
      <c r="H73" s="511">
        <f t="shared" si="17"/>
        <v>0</v>
      </c>
      <c r="J73" s="352"/>
      <c r="K73" s="352"/>
      <c r="L73" s="352"/>
      <c r="M73" s="352"/>
      <c r="N73" s="352"/>
      <c r="O73" s="352"/>
      <c r="P73" s="352"/>
      <c r="Q73" s="352"/>
      <c r="Y73" s="508"/>
    </row>
    <row r="74" spans="1:25" ht="15" customHeight="1">
      <c r="B74" s="972" t="s">
        <v>1446</v>
      </c>
      <c r="C74" s="973"/>
      <c r="D74" s="511">
        <f>D61+D64+D73</f>
        <v>71.992160333649437</v>
      </c>
      <c r="E74" s="511">
        <f t="shared" ref="E74:H74" si="18">E61+E64+E73</f>
        <v>7.0186368977309375</v>
      </c>
      <c r="F74" s="511">
        <f t="shared" si="18"/>
        <v>0.1758226351936478</v>
      </c>
      <c r="G74" s="511">
        <f t="shared" si="18"/>
        <v>0</v>
      </c>
      <c r="H74" s="511">
        <f t="shared" si="18"/>
        <v>0</v>
      </c>
      <c r="J74" s="352"/>
      <c r="K74" s="352"/>
      <c r="L74" s="352"/>
      <c r="M74" s="352"/>
      <c r="N74" s="352"/>
      <c r="O74" s="352"/>
      <c r="P74" s="352"/>
      <c r="Q74" s="352"/>
      <c r="Y74" s="508"/>
    </row>
    <row r="75" spans="1:25" ht="15" customHeight="1">
      <c r="J75" s="352"/>
      <c r="K75" s="352"/>
      <c r="L75" s="352"/>
      <c r="M75" s="352"/>
      <c r="N75" s="352"/>
      <c r="O75" s="352"/>
      <c r="P75" s="352"/>
      <c r="Q75" s="352"/>
    </row>
    <row r="76" spans="1:25" ht="15" customHeight="1" thickBot="1">
      <c r="J76" s="352"/>
      <c r="K76" s="352"/>
      <c r="O76" s="352"/>
      <c r="P76" s="352"/>
      <c r="Q76" s="352"/>
    </row>
    <row r="77" spans="1:25" ht="15" customHeight="1" thickTop="1" thickBot="1">
      <c r="A77" s="297"/>
      <c r="B77" s="502" t="s">
        <v>1596</v>
      </c>
      <c r="C77" s="515">
        <f>Organisatsioon!$C$45</f>
        <v>0</v>
      </c>
      <c r="J77" s="352"/>
      <c r="K77" s="352"/>
      <c r="L77" s="352"/>
      <c r="M77" s="352"/>
      <c r="N77" s="352"/>
      <c r="O77" s="352"/>
      <c r="P77" s="352"/>
      <c r="Q77" s="352"/>
    </row>
    <row r="78" spans="1:25" ht="15" customHeight="1" thickTop="1">
      <c r="A78" s="297"/>
      <c r="J78" s="352"/>
      <c r="K78" s="352"/>
      <c r="L78" s="352"/>
      <c r="M78" s="352"/>
      <c r="N78" s="352"/>
      <c r="O78" s="352"/>
      <c r="P78" s="352"/>
      <c r="Q78" s="352"/>
    </row>
    <row r="79" spans="1:25" ht="15" customHeight="1">
      <c r="A79" s="295"/>
      <c r="B79" s="503" t="s">
        <v>2076</v>
      </c>
      <c r="C79" s="503"/>
      <c r="D79" s="503"/>
      <c r="E79" s="503"/>
      <c r="F79" s="503"/>
      <c r="G79" s="503"/>
      <c r="H79" s="503"/>
      <c r="J79" s="352"/>
      <c r="K79" s="352"/>
      <c r="L79" s="352"/>
      <c r="M79" s="352"/>
      <c r="N79" s="352"/>
      <c r="O79" s="352"/>
      <c r="P79" s="352"/>
      <c r="Q79" s="352"/>
    </row>
    <row r="80" spans="1:25" ht="15" customHeight="1">
      <c r="A80" s="297"/>
      <c r="B80" s="349" t="s">
        <v>61</v>
      </c>
      <c r="C80" s="504" t="s">
        <v>134</v>
      </c>
      <c r="D80" s="505">
        <f>Organisatsioon!$B$23</f>
        <v>2021</v>
      </c>
      <c r="E80" s="505">
        <f>Organisatsioon!$B$24</f>
        <v>2022</v>
      </c>
      <c r="F80" s="505">
        <f>Organisatsioon!$B$25</f>
        <v>2023</v>
      </c>
      <c r="G80" s="505">
        <f>Organisatsioon!$B$26</f>
        <v>0</v>
      </c>
      <c r="H80" s="505">
        <f>Organisatsioon!$B$27</f>
        <v>0</v>
      </c>
      <c r="J80" s="352"/>
      <c r="K80" s="352"/>
      <c r="L80" s="352"/>
      <c r="M80" s="352"/>
      <c r="N80" s="352"/>
      <c r="O80" s="352"/>
      <c r="P80" s="352"/>
      <c r="Q80" s="352"/>
    </row>
    <row r="81" spans="1:25" ht="15" customHeight="1">
      <c r="A81" s="297"/>
      <c r="B81" s="975" t="s">
        <v>13</v>
      </c>
      <c r="C81" s="332" t="s">
        <v>2231</v>
      </c>
      <c r="D81" s="507">
        <f>'M1-Energia'!$L$49</f>
        <v>0</v>
      </c>
      <c r="E81" s="507">
        <f>'M1-Energia'!Y49</f>
        <v>0</v>
      </c>
      <c r="F81" s="507">
        <f>'M1-Energia'!AL49</f>
        <v>0</v>
      </c>
      <c r="G81" s="507"/>
      <c r="H81" s="507"/>
      <c r="J81" s="352"/>
      <c r="K81" s="352"/>
      <c r="L81" s="352"/>
      <c r="M81" s="352"/>
      <c r="N81" s="352"/>
      <c r="O81" s="352"/>
      <c r="P81" s="352"/>
      <c r="Q81" s="352"/>
      <c r="Y81" s="508"/>
    </row>
    <row r="82" spans="1:25" ht="15" customHeight="1" thickBot="1">
      <c r="A82" s="297"/>
      <c r="B82" s="976"/>
      <c r="C82" s="332" t="s">
        <v>2230</v>
      </c>
      <c r="D82" s="507">
        <f>'M1-Sõidukid'!$L$96</f>
        <v>11.885800739972167</v>
      </c>
      <c r="E82" s="507">
        <f>'M1-Sõidukid'!X96</f>
        <v>0</v>
      </c>
      <c r="F82" s="507">
        <f>'M1-Sõidukid'!AJ96</f>
        <v>0</v>
      </c>
      <c r="G82" s="507"/>
      <c r="H82" s="507"/>
      <c r="J82" s="352"/>
      <c r="K82" s="352"/>
      <c r="L82" s="352"/>
      <c r="M82" s="352"/>
      <c r="N82" s="352"/>
      <c r="O82" s="352"/>
      <c r="P82" s="352"/>
      <c r="Q82" s="352"/>
    </row>
    <row r="83" spans="1:25" ht="15" customHeight="1" thickTop="1" thickBot="1">
      <c r="B83" s="977"/>
      <c r="C83" s="332" t="s">
        <v>1445</v>
      </c>
      <c r="D83" s="507">
        <f>'M1-Hajusheitmed'!$I$44</f>
        <v>9.125</v>
      </c>
      <c r="E83" s="507">
        <f>'M1-Hajusheitmed'!R44</f>
        <v>0</v>
      </c>
      <c r="F83" s="507">
        <f>'M1-Hajusheitmed'!AA44</f>
        <v>0</v>
      </c>
      <c r="G83" s="507"/>
      <c r="H83" s="507"/>
      <c r="J83" s="352"/>
      <c r="K83" s="352"/>
      <c r="N83" s="968" t="s">
        <v>1903</v>
      </c>
      <c r="O83" s="969"/>
      <c r="P83" s="512">
        <v>2021</v>
      </c>
      <c r="Q83" s="352"/>
    </row>
    <row r="84" spans="1:25" ht="15" customHeight="1" thickTop="1">
      <c r="B84" s="509"/>
      <c r="C84" s="510" t="s">
        <v>1817</v>
      </c>
      <c r="D84" s="511">
        <f>SUM(D81:D83)</f>
        <v>21.010800739972169</v>
      </c>
      <c r="E84" s="511">
        <f t="shared" ref="E84:H84" si="19">SUM(E81:E83)</f>
        <v>0</v>
      </c>
      <c r="F84" s="511">
        <f t="shared" si="19"/>
        <v>0</v>
      </c>
      <c r="G84" s="511">
        <f t="shared" si="19"/>
        <v>0</v>
      </c>
      <c r="H84" s="511">
        <f t="shared" si="19"/>
        <v>0</v>
      </c>
      <c r="J84" s="352"/>
      <c r="K84" s="352"/>
      <c r="L84" s="352"/>
      <c r="M84" s="352"/>
      <c r="N84" s="352"/>
      <c r="O84" s="352"/>
      <c r="P84" s="352"/>
      <c r="Q84" s="352"/>
    </row>
    <row r="85" spans="1:25" ht="15" customHeight="1">
      <c r="B85" s="975" t="s">
        <v>19</v>
      </c>
      <c r="C85" s="332" t="s">
        <v>136</v>
      </c>
      <c r="D85" s="507">
        <f>'M2-Ostetud elektrienergia'!$K$75</f>
        <v>0</v>
      </c>
      <c r="E85" s="507">
        <f>'M2-Ostetud elektrienergia'!V75</f>
        <v>0</v>
      </c>
      <c r="F85" s="507">
        <f>'M2-Ostetud elektrienergia'!AG75</f>
        <v>6.3658000000000001</v>
      </c>
      <c r="G85" s="507"/>
      <c r="H85" s="507"/>
      <c r="J85" s="352"/>
      <c r="K85" s="352"/>
      <c r="L85" s="352"/>
      <c r="M85" s="352"/>
      <c r="N85" s="352"/>
      <c r="O85" s="352"/>
      <c r="P85" s="352"/>
      <c r="Q85" s="352"/>
      <c r="Y85" s="508"/>
    </row>
    <row r="86" spans="1:25" ht="15" customHeight="1">
      <c r="B86" s="977"/>
      <c r="C86" s="332" t="s">
        <v>137</v>
      </c>
      <c r="D86" s="507">
        <f>'M2-Ostetud soojusenergia'!$K$53</f>
        <v>0</v>
      </c>
      <c r="E86" s="507">
        <f>'M2-Ostetud soojusenergia'!V53</f>
        <v>4.6019344356445071</v>
      </c>
      <c r="F86" s="507">
        <f>'M2-Ostetud soojusenergia'!AG53</f>
        <v>1.6887839788259761E-2</v>
      </c>
      <c r="G86" s="507"/>
      <c r="H86" s="507"/>
      <c r="J86" s="352"/>
      <c r="K86" s="352"/>
      <c r="L86" s="352"/>
      <c r="M86" s="352"/>
      <c r="N86" s="352"/>
      <c r="O86" s="352"/>
      <c r="P86" s="352"/>
      <c r="Q86" s="352"/>
      <c r="Y86" s="508"/>
    </row>
    <row r="87" spans="1:25" ht="15" customHeight="1">
      <c r="B87" s="509"/>
      <c r="C87" s="510" t="s">
        <v>1818</v>
      </c>
      <c r="D87" s="511">
        <f>SUM(D85:D86)</f>
        <v>0</v>
      </c>
      <c r="E87" s="511">
        <f t="shared" ref="E87:H87" si="20">SUM(E85:E86)</f>
        <v>4.6019344356445071</v>
      </c>
      <c r="F87" s="511">
        <f t="shared" si="20"/>
        <v>6.38268783978826</v>
      </c>
      <c r="G87" s="511">
        <f t="shared" si="20"/>
        <v>0</v>
      </c>
      <c r="H87" s="511">
        <f t="shared" si="20"/>
        <v>0</v>
      </c>
      <c r="J87" s="352"/>
      <c r="K87" s="352"/>
      <c r="L87" s="352"/>
      <c r="M87" s="352"/>
      <c r="N87" s="352"/>
      <c r="O87" s="352"/>
      <c r="P87" s="352"/>
      <c r="Q87" s="352"/>
      <c r="Y87" s="508"/>
    </row>
    <row r="88" spans="1:25" ht="15" customHeight="1">
      <c r="B88" s="975" t="s">
        <v>20</v>
      </c>
      <c r="C88" s="332" t="s">
        <v>2234</v>
      </c>
      <c r="D88" s="507">
        <f>'M3-Transport'!M198</f>
        <v>74.17783734862634</v>
      </c>
      <c r="E88" s="507">
        <f>'M3-Transport'!AE198</f>
        <v>0</v>
      </c>
      <c r="F88" s="507">
        <f>'M3-Transport'!AW198</f>
        <v>0</v>
      </c>
      <c r="G88" s="507"/>
      <c r="H88" s="507"/>
      <c r="J88" s="352"/>
      <c r="K88" s="352"/>
      <c r="L88" s="352"/>
      <c r="M88" s="352"/>
      <c r="N88" s="352"/>
      <c r="O88" s="352"/>
      <c r="P88" s="352"/>
      <c r="Q88" s="352"/>
      <c r="Y88" s="508"/>
    </row>
    <row r="89" spans="1:25" ht="15" customHeight="1">
      <c r="B89" s="976"/>
      <c r="C89" s="332" t="s">
        <v>2235</v>
      </c>
      <c r="D89" s="507">
        <f>'M3-Tööreisid'!K73</f>
        <v>0</v>
      </c>
      <c r="E89" s="507">
        <f>'M3-Tööreisid'!V73</f>
        <v>0</v>
      </c>
      <c r="F89" s="507">
        <f>'M3-Tööreisid'!AG73</f>
        <v>0</v>
      </c>
      <c r="G89" s="507"/>
      <c r="H89" s="507"/>
      <c r="J89" s="352"/>
      <c r="K89" s="352"/>
      <c r="L89" s="352"/>
      <c r="M89" s="352"/>
      <c r="N89" s="352"/>
      <c r="O89" s="352"/>
      <c r="P89" s="352"/>
      <c r="Q89" s="352"/>
      <c r="Y89" s="508"/>
    </row>
    <row r="90" spans="1:25" ht="15" customHeight="1">
      <c r="B90" s="976"/>
      <c r="C90" s="332" t="s">
        <v>2236</v>
      </c>
      <c r="D90" s="507">
        <f>'M3-Tööle-koju'!K72</f>
        <v>0</v>
      </c>
      <c r="E90" s="507">
        <f>'M3-Tööle-koju'!V72</f>
        <v>0</v>
      </c>
      <c r="F90" s="507">
        <f>'M3-Tööle-koju'!AG72</f>
        <v>0</v>
      </c>
      <c r="G90" s="507"/>
      <c r="H90" s="507"/>
      <c r="J90" s="352"/>
      <c r="K90" s="352"/>
      <c r="L90" s="352"/>
      <c r="M90" s="352"/>
      <c r="N90" s="352"/>
      <c r="O90" s="352"/>
      <c r="P90" s="352"/>
      <c r="Q90" s="352"/>
      <c r="Y90" s="508">
        <f ca="1">OFFSET(C61,,MATCH($P$104,$D$57:$H$57,0))</f>
        <v>43.045612488141131</v>
      </c>
    </row>
    <row r="91" spans="1:25" ht="15" customHeight="1">
      <c r="B91" s="976"/>
      <c r="C91" s="332" t="s">
        <v>138</v>
      </c>
      <c r="D91" s="507">
        <f>'M3-Jäätmed'!N57</f>
        <v>0</v>
      </c>
      <c r="E91" s="507">
        <f>'M3-Jäätmed'!AB57</f>
        <v>0</v>
      </c>
      <c r="F91" s="507">
        <f>'M3-Jäätmed'!AP57</f>
        <v>0</v>
      </c>
      <c r="G91" s="507"/>
      <c r="H91" s="507"/>
      <c r="J91" s="352"/>
      <c r="K91" s="352"/>
      <c r="L91" s="352"/>
      <c r="M91" s="352"/>
      <c r="N91" s="352"/>
      <c r="O91" s="352"/>
      <c r="P91" s="352"/>
      <c r="Q91" s="352"/>
      <c r="Y91" s="508">
        <f ca="1">OFFSET(C64,,MATCH($P$104,$D$57:$H$57,0))</f>
        <v>0.31829000000000002</v>
      </c>
    </row>
    <row r="92" spans="1:25" ht="15" customHeight="1">
      <c r="A92" s="297"/>
      <c r="B92" s="976"/>
      <c r="C92" s="332" t="s">
        <v>1573</v>
      </c>
      <c r="D92" s="507">
        <f>'M3-Ostetud tooted'!M45</f>
        <v>0</v>
      </c>
      <c r="E92" s="507">
        <f>'M3-Ostetud tooted'!Z45</f>
        <v>0</v>
      </c>
      <c r="F92" s="507">
        <f>'M3-Ostetud tooted'!AM45</f>
        <v>0</v>
      </c>
      <c r="G92" s="507"/>
      <c r="H92" s="507"/>
      <c r="J92" s="352"/>
      <c r="K92" s="352"/>
      <c r="L92" s="352"/>
      <c r="M92" s="352"/>
      <c r="N92" s="352"/>
      <c r="O92" s="352"/>
      <c r="P92" s="352"/>
      <c r="Q92" s="352"/>
      <c r="Y92" s="508">
        <f ca="1">OFFSET(C73,,MATCH($P$104,$D$57:$H$57,0))</f>
        <v>28.628257845508308</v>
      </c>
    </row>
    <row r="93" spans="1:25" ht="15" customHeight="1">
      <c r="A93" s="297"/>
      <c r="B93" s="976"/>
      <c r="C93" s="332" t="s">
        <v>1574</v>
      </c>
      <c r="D93" s="507">
        <f>'M3-Müüdud tooted'!M45</f>
        <v>0</v>
      </c>
      <c r="E93" s="507">
        <f>'M3-Müüdud tooted'!Z45</f>
        <v>0</v>
      </c>
      <c r="F93" s="507">
        <f>'M3-Müüdud tooted'!AM45</f>
        <v>0</v>
      </c>
      <c r="G93" s="507"/>
      <c r="H93" s="507"/>
      <c r="J93" s="352"/>
      <c r="K93" s="352"/>
      <c r="L93" s="352"/>
      <c r="M93" s="352"/>
      <c r="N93" s="352"/>
      <c r="O93" s="352"/>
      <c r="P93" s="352"/>
      <c r="Q93" s="352"/>
      <c r="Y93" s="508"/>
    </row>
    <row r="94" spans="1:25" ht="15" customHeight="1">
      <c r="B94" s="976"/>
      <c r="C94" s="332" t="s">
        <v>139</v>
      </c>
      <c r="D94" s="507">
        <f>'M3-Finantsinvesteeringud'!P55</f>
        <v>0</v>
      </c>
      <c r="E94" s="507">
        <f>'M3-Finantsinvesteeringud'!AF55</f>
        <v>0</v>
      </c>
      <c r="F94" s="507">
        <f>'M3-Finantsinvesteeringud'!AV55</f>
        <v>0</v>
      </c>
      <c r="G94" s="507"/>
      <c r="H94" s="507"/>
      <c r="J94" s="352"/>
      <c r="K94" s="352"/>
      <c r="L94" s="352"/>
      <c r="M94" s="352"/>
      <c r="N94" s="352"/>
      <c r="O94" s="352"/>
      <c r="P94" s="352"/>
      <c r="Q94" s="352"/>
      <c r="Y94" s="508"/>
    </row>
    <row r="95" spans="1:25" ht="15" customHeight="1">
      <c r="B95" s="977"/>
      <c r="C95" s="332" t="s">
        <v>2299</v>
      </c>
      <c r="D95" s="507">
        <f>'M3-Sõidukikütused'!$K$68</f>
        <v>0.4385</v>
      </c>
      <c r="E95" s="507">
        <f>'M3-Sõidukikütused'!V68</f>
        <v>0</v>
      </c>
      <c r="F95" s="507">
        <f>'M3-Sõidukikütused'!AG68</f>
        <v>0</v>
      </c>
      <c r="G95" s="507"/>
      <c r="H95" s="507"/>
      <c r="J95" s="352"/>
      <c r="K95" s="352"/>
      <c r="L95" s="352"/>
      <c r="M95" s="352"/>
      <c r="N95" s="352"/>
      <c r="O95" s="352"/>
      <c r="P95" s="352"/>
      <c r="Q95" s="352"/>
      <c r="Y95" s="508"/>
    </row>
    <row r="96" spans="1:25" ht="15" customHeight="1">
      <c r="B96" s="509"/>
      <c r="C96" s="510" t="s">
        <v>1819</v>
      </c>
      <c r="D96" s="511">
        <f>SUM(D88:D95)</f>
        <v>74.616337348626345</v>
      </c>
      <c r="E96" s="511">
        <f t="shared" ref="E96:H96" si="21">SUM(E88:E95)</f>
        <v>0</v>
      </c>
      <c r="F96" s="511">
        <f t="shared" si="21"/>
        <v>0</v>
      </c>
      <c r="G96" s="511">
        <f t="shared" si="21"/>
        <v>0</v>
      </c>
      <c r="H96" s="511">
        <f t="shared" si="21"/>
        <v>0</v>
      </c>
      <c r="J96" s="352"/>
      <c r="K96" s="352"/>
      <c r="O96" s="352"/>
      <c r="P96" s="352"/>
      <c r="Q96" s="352"/>
    </row>
    <row r="97" spans="1:25" ht="15" customHeight="1">
      <c r="B97" s="972" t="s">
        <v>1446</v>
      </c>
      <c r="C97" s="973"/>
      <c r="D97" s="511">
        <f>D84+D87+D96</f>
        <v>95.627138088598514</v>
      </c>
      <c r="E97" s="511">
        <f t="shared" ref="E97:H97" si="22">E84+E87+E96</f>
        <v>4.6019344356445071</v>
      </c>
      <c r="F97" s="511">
        <f t="shared" si="22"/>
        <v>6.38268783978826</v>
      </c>
      <c r="G97" s="511">
        <f t="shared" si="22"/>
        <v>0</v>
      </c>
      <c r="H97" s="511">
        <f t="shared" si="22"/>
        <v>0</v>
      </c>
      <c r="J97" s="352"/>
      <c r="K97" s="352"/>
      <c r="L97" s="352"/>
      <c r="M97" s="352"/>
      <c r="N97" s="352"/>
      <c r="O97" s="352"/>
      <c r="P97" s="352"/>
      <c r="Q97" s="352"/>
    </row>
    <row r="103" spans="1:25" ht="15" customHeight="1" thickBot="1"/>
    <row r="104" spans="1:25" ht="15" customHeight="1" thickTop="1" thickBot="1">
      <c r="N104" s="968" t="s">
        <v>1903</v>
      </c>
      <c r="O104" s="969"/>
      <c r="P104" s="512">
        <v>2021</v>
      </c>
    </row>
    <row r="105" spans="1:25" ht="15" customHeight="1" thickTop="1"/>
    <row r="110" spans="1:25" ht="15" customHeight="1">
      <c r="Y110" s="508">
        <f ca="1">OFFSET(C84,,MATCH($P$124,$D$80:$H$80,0))</f>
        <v>21.010800739972169</v>
      </c>
    </row>
    <row r="111" spans="1:25" ht="15" customHeight="1">
      <c r="Y111" s="508">
        <f ca="1">OFFSET(C87,,MATCH($P$124,$D$80:$H$80,0))</f>
        <v>0</v>
      </c>
    </row>
    <row r="112" spans="1:25" ht="15" customHeight="1">
      <c r="A112" s="297"/>
      <c r="Y112" s="508">
        <f ca="1">OFFSET(C96,,MATCH($P$124,$D$80:$H$80,0))</f>
        <v>74.616337348626345</v>
      </c>
    </row>
    <row r="123" spans="14:16" ht="15" customHeight="1" thickBot="1"/>
    <row r="124" spans="14:16" ht="15" customHeight="1" thickTop="1" thickBot="1">
      <c r="N124" s="968" t="s">
        <v>1903</v>
      </c>
      <c r="O124" s="969"/>
      <c r="P124" s="512">
        <v>2021</v>
      </c>
    </row>
    <row r="125" spans="14:16" ht="15" customHeight="1" thickTop="1"/>
  </sheetData>
  <mergeCells count="28">
    <mergeCell ref="N104:O104"/>
    <mergeCell ref="B24:C24"/>
    <mergeCell ref="F27:F28"/>
    <mergeCell ref="G27:G28"/>
    <mergeCell ref="E27:E28"/>
    <mergeCell ref="B74:C74"/>
    <mergeCell ref="B51:C51"/>
    <mergeCell ref="B85:B86"/>
    <mergeCell ref="B81:B83"/>
    <mergeCell ref="N50:O50"/>
    <mergeCell ref="H27:H28"/>
    <mergeCell ref="N83:O83"/>
    <mergeCell ref="N124:O124"/>
    <mergeCell ref="N30:O30"/>
    <mergeCell ref="B97:C97"/>
    <mergeCell ref="C3:D3"/>
    <mergeCell ref="B8:B10"/>
    <mergeCell ref="B12:B13"/>
    <mergeCell ref="D27:D28"/>
    <mergeCell ref="B27:C28"/>
    <mergeCell ref="B15:B22"/>
    <mergeCell ref="B42:B49"/>
    <mergeCell ref="B39:B40"/>
    <mergeCell ref="B35:B37"/>
    <mergeCell ref="B58:B60"/>
    <mergeCell ref="B62:B63"/>
    <mergeCell ref="B65:B72"/>
    <mergeCell ref="B88:B95"/>
  </mergeCells>
  <phoneticPr fontId="35" type="noConversion"/>
  <dataValidations count="4">
    <dataValidation type="list" allowBlank="1" showInputMessage="1" showErrorMessage="1" sqref="P50 P30">
      <formula1>$D$7:$H$7</formula1>
    </dataValidation>
    <dataValidation type="list" allowBlank="1" showInputMessage="1" showErrorMessage="1" sqref="P83">
      <formula1>$D$34:$H$34</formula1>
    </dataValidation>
    <dataValidation type="list" allowBlank="1" showInputMessage="1" showErrorMessage="1" sqref="P104">
      <formula1>$D$57:$H$57</formula1>
    </dataValidation>
    <dataValidation type="list" allowBlank="1" showInputMessage="1" showErrorMessage="1" sqref="P124">
      <formula1>$D$80:$H$80</formula1>
    </dataValidation>
  </dataValidations>
  <hyperlinks>
    <hyperlink ref="A2" location="Sisukord!A1" display="Sisukord"/>
  </hyperlinks>
  <pageMargins left="0.70866141732283472" right="0.70866141732283472" top="0.74803149606299213" bottom="0.74803149606299213" header="0.31496062992125984" footer="0.31496062992125984"/>
  <pageSetup scale="50" orientation="landscape" cellComments="atEnd"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G82"/>
  <sheetViews>
    <sheetView showGridLines="0" zoomScale="90" zoomScaleNormal="90" workbookViewId="0">
      <pane xSplit="1" ySplit="1" topLeftCell="B29" activePane="bottomRight" state="frozen"/>
      <selection activeCell="B5" sqref="B5"/>
      <selection pane="topRight" activeCell="B5" sqref="B5"/>
      <selection pane="bottomLeft" activeCell="B5" sqref="B5"/>
      <selection pane="bottomRight" activeCell="B60" sqref="B60:D60"/>
    </sheetView>
  </sheetViews>
  <sheetFormatPr defaultColWidth="9.453125" defaultRowHeight="15" customHeight="1"/>
  <cols>
    <col min="1" max="1" width="7.1796875" style="302" customWidth="1"/>
    <col min="2" max="2" width="48.1796875" style="297" customWidth="1"/>
    <col min="3" max="3" width="15.7265625" style="365" customWidth="1"/>
    <col min="4" max="4" width="20.7265625" style="365" customWidth="1"/>
    <col min="5" max="5" width="195.26953125" style="297" customWidth="1"/>
    <col min="6" max="11" width="9.453125" style="297"/>
    <col min="12" max="12" width="14.81640625" style="297" customWidth="1"/>
    <col min="13" max="13" width="9.453125" style="297"/>
    <col min="14" max="14" width="10" style="297" bestFit="1" customWidth="1"/>
    <col min="15" max="16384" width="9.453125" style="297"/>
  </cols>
  <sheetData>
    <row r="1" spans="1:5" s="296" customFormat="1" ht="21" customHeight="1">
      <c r="A1" s="293"/>
      <c r="B1" s="291" t="s">
        <v>140</v>
      </c>
      <c r="C1" s="486"/>
      <c r="D1" s="486"/>
    </row>
    <row r="2" spans="1:5" s="296" customFormat="1" ht="15" customHeight="1">
      <c r="A2" s="295" t="s">
        <v>1</v>
      </c>
      <c r="B2" s="487"/>
      <c r="C2" s="486"/>
      <c r="D2" s="486"/>
    </row>
    <row r="3" spans="1:5" ht="15" customHeight="1">
      <c r="A3" s="297"/>
      <c r="B3" s="320" t="s">
        <v>141</v>
      </c>
      <c r="C3" s="328"/>
      <c r="D3" s="328"/>
      <c r="E3" s="484"/>
    </row>
    <row r="4" spans="1:5" ht="15" customHeight="1">
      <c r="A4" s="297"/>
      <c r="B4" s="330" t="s">
        <v>1447</v>
      </c>
      <c r="C4" s="331" t="s">
        <v>126</v>
      </c>
      <c r="D4" s="813" t="s">
        <v>81</v>
      </c>
      <c r="E4" s="366" t="s">
        <v>142</v>
      </c>
    </row>
    <row r="5" spans="1:5" s="396" customFormat="1" ht="15" customHeight="1">
      <c r="B5" s="332" t="s">
        <v>1516</v>
      </c>
      <c r="C5" s="488">
        <f>Eriheited!G6</f>
        <v>8.3735538950121321E-4</v>
      </c>
      <c r="D5" s="336" t="s">
        <v>2007</v>
      </c>
      <c r="E5" s="332" t="s">
        <v>1940</v>
      </c>
    </row>
    <row r="6" spans="1:5" s="396" customFormat="1" ht="15" customHeight="1">
      <c r="B6" s="332" t="s">
        <v>1517</v>
      </c>
      <c r="C6" s="488">
        <f>Eriheited!G7</f>
        <v>2.5331759682389643E-4</v>
      </c>
      <c r="D6" s="341" t="s">
        <v>2008</v>
      </c>
      <c r="E6" s="332" t="s">
        <v>1939</v>
      </c>
    </row>
    <row r="7" spans="1:5" s="396" customFormat="1" ht="15" customHeight="1">
      <c r="B7" s="332" t="s">
        <v>143</v>
      </c>
      <c r="C7" s="488">
        <f>Eriheited!G8</f>
        <v>1.2833086462288437E-4</v>
      </c>
      <c r="D7" s="341" t="s">
        <v>2008</v>
      </c>
      <c r="E7" s="332" t="s">
        <v>1939</v>
      </c>
    </row>
    <row r="8" spans="1:5" s="396" customFormat="1" ht="15" customHeight="1">
      <c r="B8" s="332" t="s">
        <v>1685</v>
      </c>
      <c r="C8" s="488">
        <f>Eriheited!G9</f>
        <v>1.2166478915497344E-3</v>
      </c>
      <c r="D8" s="336" t="s">
        <v>2009</v>
      </c>
      <c r="E8" s="332" t="s">
        <v>2010</v>
      </c>
    </row>
    <row r="9" spans="1:5" ht="15" customHeight="1">
      <c r="A9" s="297"/>
      <c r="B9" s="332" t="s">
        <v>74</v>
      </c>
      <c r="C9" s="488">
        <f>Eriheited!G10</f>
        <v>0.26412709359302189</v>
      </c>
      <c r="D9" s="341" t="s">
        <v>2008</v>
      </c>
      <c r="E9" s="332" t="s">
        <v>1941</v>
      </c>
    </row>
    <row r="10" spans="1:5" ht="15" customHeight="1">
      <c r="B10" s="332" t="s">
        <v>144</v>
      </c>
      <c r="C10" s="488">
        <f>Eriheited!G11</f>
        <v>2.6185266584263753</v>
      </c>
      <c r="D10" s="865" t="s">
        <v>2011</v>
      </c>
      <c r="E10" s="332" t="s">
        <v>1942</v>
      </c>
    </row>
    <row r="11" spans="1:5" ht="15" customHeight="1">
      <c r="B11" s="323" t="s">
        <v>76</v>
      </c>
      <c r="C11" s="488">
        <f>Eriheited!G12</f>
        <v>0.38426542967943061</v>
      </c>
      <c r="D11" s="341" t="s">
        <v>2008</v>
      </c>
      <c r="E11" s="332" t="s">
        <v>1939</v>
      </c>
    </row>
    <row r="12" spans="1:5" ht="15" customHeight="1">
      <c r="B12" s="323" t="s">
        <v>145</v>
      </c>
      <c r="C12" s="488">
        <f>Eriheited!G13</f>
        <v>0</v>
      </c>
      <c r="D12" s="341" t="s">
        <v>2008</v>
      </c>
      <c r="E12" s="323" t="s">
        <v>146</v>
      </c>
    </row>
    <row r="13" spans="1:5" ht="15" customHeight="1">
      <c r="B13" s="323" t="s">
        <v>147</v>
      </c>
      <c r="C13" s="488">
        <f>Eriheited!G14</f>
        <v>0</v>
      </c>
      <c r="D13" s="341" t="s">
        <v>2008</v>
      </c>
      <c r="E13" s="323" t="s">
        <v>146</v>
      </c>
    </row>
    <row r="14" spans="1:5" ht="15" customHeight="1">
      <c r="B14" s="332" t="s">
        <v>1716</v>
      </c>
      <c r="C14" s="488">
        <f>Eriheited!G15</f>
        <v>3.1549152018571549</v>
      </c>
      <c r="D14" s="336" t="s">
        <v>2007</v>
      </c>
      <c r="E14" s="332" t="s">
        <v>2244</v>
      </c>
    </row>
    <row r="15" spans="1:5" ht="15" customHeight="1">
      <c r="B15" s="332" t="s">
        <v>148</v>
      </c>
      <c r="C15" s="488">
        <f>Eriheited!G16</f>
        <v>0.26723987592201787</v>
      </c>
      <c r="D15" s="341" t="s">
        <v>2008</v>
      </c>
      <c r="E15" s="332" t="s">
        <v>1939</v>
      </c>
    </row>
    <row r="16" spans="1:5" ht="15" customHeight="1">
      <c r="B16" s="332" t="s">
        <v>1647</v>
      </c>
      <c r="C16" s="488">
        <f>Eriheited!G17</f>
        <v>2.3678779505270069</v>
      </c>
      <c r="D16" s="336" t="s">
        <v>2007</v>
      </c>
      <c r="E16" s="332" t="s">
        <v>1943</v>
      </c>
    </row>
    <row r="17" spans="1:5" ht="15" customHeight="1">
      <c r="A17" s="297"/>
      <c r="B17" s="332" t="s">
        <v>1646</v>
      </c>
      <c r="C17" s="488">
        <f>Eriheited!G18</f>
        <v>0.34179473223324885</v>
      </c>
      <c r="D17" s="341" t="s">
        <v>2008</v>
      </c>
      <c r="E17" s="332" t="s">
        <v>1941</v>
      </c>
    </row>
    <row r="18" spans="1:5" ht="15" customHeight="1">
      <c r="B18" s="323" t="s">
        <v>1648</v>
      </c>
      <c r="C18" s="488">
        <f>Eriheited!G19</f>
        <v>0.1990523308646229</v>
      </c>
      <c r="D18" s="341" t="s">
        <v>2008</v>
      </c>
      <c r="E18" s="332" t="s">
        <v>1939</v>
      </c>
    </row>
    <row r="19" spans="1:5" ht="15" customHeight="1">
      <c r="A19" s="297"/>
      <c r="B19" s="332" t="s">
        <v>1714</v>
      </c>
      <c r="C19" s="488">
        <f>Eriheited!G20</f>
        <v>1.887126681224883</v>
      </c>
      <c r="D19" s="336" t="s">
        <v>2009</v>
      </c>
      <c r="E19" s="332" t="s">
        <v>2010</v>
      </c>
    </row>
    <row r="20" spans="1:5" ht="15" customHeight="1">
      <c r="B20" s="323" t="s">
        <v>77</v>
      </c>
      <c r="C20" s="488">
        <f>Eriheited!G21</f>
        <v>0.21567882576133668</v>
      </c>
      <c r="D20" s="341" t="s">
        <v>2008</v>
      </c>
      <c r="E20" s="332" t="s">
        <v>1941</v>
      </c>
    </row>
    <row r="21" spans="1:5" ht="15" customHeight="1">
      <c r="B21" s="323" t="s">
        <v>1507</v>
      </c>
      <c r="C21" s="488">
        <f>Eriheited!G22</f>
        <v>0.36815475485156057</v>
      </c>
      <c r="D21" s="341" t="s">
        <v>2008</v>
      </c>
      <c r="E21" s="332" t="s">
        <v>1941</v>
      </c>
    </row>
    <row r="22" spans="1:5" ht="15" customHeight="1">
      <c r="B22" s="323" t="s">
        <v>149</v>
      </c>
      <c r="C22" s="488">
        <f>Eriheited!G23</f>
        <v>0.55591728000000007</v>
      </c>
      <c r="D22" s="341" t="s">
        <v>2008</v>
      </c>
      <c r="E22" s="332" t="s">
        <v>1941</v>
      </c>
    </row>
    <row r="23" spans="1:5" ht="15" customHeight="1">
      <c r="B23" s="323" t="s">
        <v>150</v>
      </c>
      <c r="C23" s="488">
        <f>Eriheited!G25</f>
        <v>0.62230680051320475</v>
      </c>
      <c r="D23" s="341" t="s">
        <v>2008</v>
      </c>
      <c r="E23" s="332" t="s">
        <v>1941</v>
      </c>
    </row>
    <row r="24" spans="1:5" ht="15" customHeight="1">
      <c r="B24" s="323" t="s">
        <v>151</v>
      </c>
      <c r="C24" s="488">
        <f>Eriheited!G26</f>
        <v>0.25865328000000004</v>
      </c>
      <c r="D24" s="341" t="s">
        <v>2008</v>
      </c>
      <c r="E24" s="332" t="s">
        <v>1941</v>
      </c>
    </row>
    <row r="25" spans="1:5" ht="15" customHeight="1">
      <c r="B25" s="323" t="s">
        <v>152</v>
      </c>
      <c r="C25" s="488">
        <f>Eriheited!G27</f>
        <v>0.24690528</v>
      </c>
      <c r="D25" s="341" t="s">
        <v>2008</v>
      </c>
      <c r="E25" s="332" t="s">
        <v>1941</v>
      </c>
    </row>
    <row r="26" spans="1:5" ht="15" customHeight="1">
      <c r="A26" s="297"/>
      <c r="B26" s="323" t="s">
        <v>153</v>
      </c>
      <c r="C26" s="488">
        <f>Eriheited!G28</f>
        <v>0.24809328</v>
      </c>
      <c r="D26" s="341" t="s">
        <v>2008</v>
      </c>
      <c r="E26" s="332" t="s">
        <v>1941</v>
      </c>
    </row>
    <row r="27" spans="1:5" ht="15" customHeight="1">
      <c r="B27" s="323" t="s">
        <v>154</v>
      </c>
      <c r="C27" s="488">
        <f>Eriheited!G29</f>
        <v>0.24809328</v>
      </c>
      <c r="D27" s="341" t="s">
        <v>2008</v>
      </c>
      <c r="E27" s="332" t="s">
        <v>1941</v>
      </c>
    </row>
    <row r="28" spans="1:5" ht="15" customHeight="1">
      <c r="B28" s="323" t="s">
        <v>1944</v>
      </c>
      <c r="C28" s="488">
        <f>Eriheited!G24</f>
        <v>0.24809328</v>
      </c>
      <c r="D28" s="341" t="s">
        <v>2008</v>
      </c>
      <c r="E28" s="332" t="s">
        <v>1941</v>
      </c>
    </row>
    <row r="29" spans="1:5" ht="15" customHeight="1">
      <c r="B29" s="332" t="s">
        <v>1717</v>
      </c>
      <c r="C29" s="488">
        <f>Eriheited!G30</f>
        <v>3.1352041395838715</v>
      </c>
      <c r="D29" s="336" t="s">
        <v>2007</v>
      </c>
      <c r="E29" s="332" t="s">
        <v>1946</v>
      </c>
    </row>
    <row r="30" spans="1:5" ht="15" customHeight="1">
      <c r="B30" s="332" t="s">
        <v>155</v>
      </c>
      <c r="C30" s="488">
        <f>Eriheited!G31</f>
        <v>0.266825884219904</v>
      </c>
      <c r="D30" s="341" t="s">
        <v>2008</v>
      </c>
      <c r="E30" s="332" t="s">
        <v>1939</v>
      </c>
    </row>
    <row r="31" spans="1:5" ht="15" customHeight="1">
      <c r="B31" s="332" t="s">
        <v>1718</v>
      </c>
      <c r="C31" s="488">
        <f>Eriheited!G32</f>
        <v>3.0363457719735103</v>
      </c>
      <c r="D31" s="336" t="s">
        <v>2007</v>
      </c>
      <c r="E31" s="332" t="s">
        <v>1947</v>
      </c>
    </row>
    <row r="32" spans="1:5" ht="15" customHeight="1">
      <c r="B32" s="332" t="s">
        <v>156</v>
      </c>
      <c r="C32" s="488">
        <f>Eriheited!G33</f>
        <v>0.27870588421990405</v>
      </c>
      <c r="D32" s="341" t="s">
        <v>2008</v>
      </c>
      <c r="E32" s="332" t="s">
        <v>1939</v>
      </c>
    </row>
    <row r="33" spans="1:5" ht="15" customHeight="1">
      <c r="B33" s="323" t="s">
        <v>157</v>
      </c>
      <c r="C33" s="488">
        <f>Eriheited!G34</f>
        <v>0</v>
      </c>
      <c r="D33" s="341" t="s">
        <v>2008</v>
      </c>
      <c r="E33" s="323" t="s">
        <v>146</v>
      </c>
    </row>
    <row r="34" spans="1:5" ht="15" customHeight="1">
      <c r="B34" s="332" t="s">
        <v>1719</v>
      </c>
      <c r="C34" s="488">
        <f>Eriheited!G35</f>
        <v>3.0553902801461743</v>
      </c>
      <c r="D34" s="336" t="s">
        <v>2007</v>
      </c>
      <c r="E34" s="332" t="s">
        <v>1948</v>
      </c>
    </row>
    <row r="35" spans="1:5" ht="15" customHeight="1">
      <c r="B35" s="332" t="s">
        <v>158</v>
      </c>
      <c r="C35" s="488">
        <f>Eriheited!G36</f>
        <v>0.27395778352493716</v>
      </c>
      <c r="D35" s="341" t="s">
        <v>2008</v>
      </c>
      <c r="E35" s="332" t="s">
        <v>1939</v>
      </c>
    </row>
    <row r="36" spans="1:5" ht="15" customHeight="1">
      <c r="B36" s="323" t="s">
        <v>159</v>
      </c>
      <c r="C36" s="488">
        <f>Eriheited!G37</f>
        <v>0</v>
      </c>
      <c r="D36" s="341" t="s">
        <v>2008</v>
      </c>
      <c r="E36" s="332" t="s">
        <v>160</v>
      </c>
    </row>
    <row r="37" spans="1:5" ht="15" customHeight="1">
      <c r="B37" s="323" t="s">
        <v>161</v>
      </c>
      <c r="C37" s="488">
        <f>Eriheited!G38</f>
        <v>1.5641130207974692</v>
      </c>
      <c r="D37" s="336" t="s">
        <v>2007</v>
      </c>
      <c r="E37" s="332" t="s">
        <v>1949</v>
      </c>
    </row>
    <row r="38" spans="1:5" ht="15" customHeight="1">
      <c r="A38" s="297"/>
      <c r="B38" s="323" t="s">
        <v>162</v>
      </c>
      <c r="C38" s="488">
        <f>Eriheited!G39</f>
        <v>0.35192542967943063</v>
      </c>
      <c r="D38" s="341" t="s">
        <v>2008</v>
      </c>
      <c r="E38" s="332" t="s">
        <v>1939</v>
      </c>
    </row>
    <row r="39" spans="1:5" ht="15" customHeight="1">
      <c r="B39" s="323" t="s">
        <v>163</v>
      </c>
      <c r="C39" s="488">
        <f>Eriheited!G40</f>
        <v>0</v>
      </c>
      <c r="D39" s="341" t="s">
        <v>2008</v>
      </c>
      <c r="E39" s="323" t="s">
        <v>146</v>
      </c>
    </row>
    <row r="40" spans="1:5" ht="15" customHeight="1">
      <c r="B40" s="323" t="s">
        <v>164</v>
      </c>
      <c r="C40" s="488">
        <f>Eriheited!G41</f>
        <v>0</v>
      </c>
      <c r="D40" s="341" t="s">
        <v>2008</v>
      </c>
      <c r="E40" s="332" t="s">
        <v>165</v>
      </c>
    </row>
    <row r="41" spans="1:5" ht="15" customHeight="1">
      <c r="B41" s="323" t="s">
        <v>166</v>
      </c>
      <c r="C41" s="488">
        <f>Eriheited!G42</f>
        <v>0.37000942967943062</v>
      </c>
      <c r="D41" s="341" t="s">
        <v>2008</v>
      </c>
      <c r="E41" s="332" t="s">
        <v>1939</v>
      </c>
    </row>
    <row r="42" spans="1:5" ht="15" customHeight="1">
      <c r="B42" s="323" t="s">
        <v>167</v>
      </c>
      <c r="C42" s="488">
        <f>Eriheited!G43</f>
        <v>0.1990523308646229</v>
      </c>
      <c r="D42" s="341" t="s">
        <v>2008</v>
      </c>
      <c r="E42" s="332" t="s">
        <v>1939</v>
      </c>
    </row>
    <row r="43" spans="1:5" ht="15" customHeight="1">
      <c r="B43" s="323" t="s">
        <v>168</v>
      </c>
      <c r="C43" s="488">
        <f>Eriheited!G44</f>
        <v>0.22969350958840634</v>
      </c>
      <c r="D43" s="341" t="s">
        <v>2008</v>
      </c>
      <c r="E43" s="332" t="s">
        <v>1941</v>
      </c>
    </row>
    <row r="46" spans="1:5" ht="15" customHeight="1">
      <c r="B46" s="982" t="s">
        <v>79</v>
      </c>
      <c r="C46" s="980" t="s">
        <v>2071</v>
      </c>
      <c r="D46" s="984" t="s">
        <v>81</v>
      </c>
      <c r="E46" s="986" t="s">
        <v>142</v>
      </c>
    </row>
    <row r="47" spans="1:5" ht="15" customHeight="1">
      <c r="B47" s="983"/>
      <c r="C47" s="981"/>
      <c r="D47" s="985"/>
      <c r="E47" s="987"/>
    </row>
    <row r="48" spans="1:5" ht="15" customHeight="1">
      <c r="B48" s="323" t="s">
        <v>1516</v>
      </c>
      <c r="C48" s="346">
        <f>Eriheited!G47</f>
        <v>1.3328</v>
      </c>
      <c r="D48" s="350" t="s">
        <v>2012</v>
      </c>
      <c r="E48" s="332" t="s">
        <v>2245</v>
      </c>
    </row>
    <row r="49" spans="1:7" ht="15" customHeight="1">
      <c r="B49" s="323" t="s">
        <v>1517</v>
      </c>
      <c r="C49" s="346">
        <f>Eriheited!G48</f>
        <v>0.4032</v>
      </c>
      <c r="D49" s="350" t="s">
        <v>2013</v>
      </c>
      <c r="E49" s="332" t="s">
        <v>1941</v>
      </c>
    </row>
    <row r="50" spans="1:7" ht="15" customHeight="1">
      <c r="B50" s="323" t="s">
        <v>143</v>
      </c>
      <c r="C50" s="346">
        <f>Eriheited!G49</f>
        <v>0.19654799999999997</v>
      </c>
      <c r="D50" s="350" t="s">
        <v>2013</v>
      </c>
      <c r="E50" s="332" t="s">
        <v>1941</v>
      </c>
    </row>
    <row r="51" spans="1:7" ht="15" customHeight="1">
      <c r="B51" s="323" t="s">
        <v>1685</v>
      </c>
      <c r="C51" s="346">
        <f>Eriheited!G50</f>
        <v>1.8633842333333333</v>
      </c>
      <c r="D51" s="350" t="s">
        <v>2014</v>
      </c>
      <c r="E51" s="332" t="s">
        <v>2015</v>
      </c>
    </row>
    <row r="52" spans="1:7" ht="15" customHeight="1">
      <c r="C52" s="489"/>
      <c r="D52" s="490"/>
      <c r="E52" s="491"/>
    </row>
    <row r="54" spans="1:7" ht="15" customHeight="1">
      <c r="B54" s="320" t="s">
        <v>169</v>
      </c>
      <c r="C54" s="492"/>
      <c r="D54" s="492"/>
      <c r="E54" s="493"/>
    </row>
    <row r="55" spans="1:7" ht="15" customHeight="1">
      <c r="A55" s="297"/>
      <c r="B55" s="454" t="s">
        <v>170</v>
      </c>
      <c r="C55" s="494" t="s">
        <v>126</v>
      </c>
      <c r="D55" s="495" t="s">
        <v>81</v>
      </c>
      <c r="E55" s="454" t="s">
        <v>142</v>
      </c>
    </row>
    <row r="56" spans="1:7" ht="15" customHeight="1">
      <c r="A56" s="297"/>
      <c r="B56" s="814" t="s">
        <v>2177</v>
      </c>
      <c r="C56" s="818">
        <f>$C$6</f>
        <v>2.5331759682389643E-4</v>
      </c>
      <c r="D56" s="341" t="s">
        <v>2008</v>
      </c>
      <c r="E56" s="323" t="s">
        <v>1941</v>
      </c>
      <c r="F56"/>
      <c r="G56" s="396"/>
    </row>
    <row r="57" spans="1:7" ht="15" customHeight="1">
      <c r="A57" s="297"/>
      <c r="B57" s="798" t="s">
        <v>2178</v>
      </c>
      <c r="C57" s="348">
        <v>0</v>
      </c>
      <c r="D57" s="812" t="s">
        <v>2072</v>
      </c>
      <c r="E57" s="323" t="s">
        <v>146</v>
      </c>
      <c r="G57" s="396"/>
    </row>
    <row r="58" spans="1:7" ht="15" customHeight="1">
      <c r="A58" s="297"/>
      <c r="B58" s="323" t="s">
        <v>102</v>
      </c>
      <c r="C58" s="348">
        <v>0.63658000000000003</v>
      </c>
      <c r="D58" s="812" t="s">
        <v>2073</v>
      </c>
      <c r="E58" s="323" t="s">
        <v>1515</v>
      </c>
      <c r="G58" s="396"/>
    </row>
    <row r="59" spans="1:7" ht="15" customHeight="1">
      <c r="A59" s="297"/>
      <c r="B59" s="454" t="s">
        <v>2189</v>
      </c>
      <c r="C59" s="494" t="s">
        <v>126</v>
      </c>
      <c r="D59" s="495" t="s">
        <v>81</v>
      </c>
      <c r="E59" s="454" t="s">
        <v>142</v>
      </c>
    </row>
    <row r="60" spans="1:7" ht="15" customHeight="1">
      <c r="A60" s="297"/>
      <c r="B60" s="332" t="s">
        <v>2279</v>
      </c>
      <c r="C60" s="348">
        <f>$C$57</f>
        <v>0</v>
      </c>
      <c r="D60" s="350" t="s">
        <v>2072</v>
      </c>
      <c r="E60" s="323" t="s">
        <v>146</v>
      </c>
    </row>
    <row r="61" spans="1:7" ht="15" customHeight="1">
      <c r="A61" s="297"/>
      <c r="B61" s="332" t="s">
        <v>2280</v>
      </c>
      <c r="C61" s="348">
        <f>$C$58</f>
        <v>0.63658000000000003</v>
      </c>
      <c r="D61" s="350" t="s">
        <v>2073</v>
      </c>
      <c r="E61" s="323" t="s">
        <v>1515</v>
      </c>
    </row>
    <row r="62" spans="1:7" ht="15" customHeight="1">
      <c r="A62" s="297"/>
      <c r="B62" s="355"/>
      <c r="C62" s="861"/>
      <c r="D62" s="355"/>
      <c r="E62" s="355"/>
    </row>
    <row r="64" spans="1:7" ht="15" customHeight="1">
      <c r="B64" s="320" t="s">
        <v>171</v>
      </c>
      <c r="C64" s="492"/>
      <c r="D64" s="492"/>
      <c r="E64" s="493"/>
    </row>
    <row r="65" spans="1:5" ht="15" customHeight="1">
      <c r="B65" s="450" t="s">
        <v>1825</v>
      </c>
      <c r="C65" s="496" t="s">
        <v>172</v>
      </c>
      <c r="D65" s="377" t="s">
        <v>81</v>
      </c>
      <c r="E65" s="450" t="s">
        <v>142</v>
      </c>
    </row>
    <row r="66" spans="1:5" ht="15" customHeight="1">
      <c r="B66" s="323" t="s">
        <v>1518</v>
      </c>
      <c r="C66" s="342">
        <f>C6/C81</f>
        <v>3.1664699602987052E-4</v>
      </c>
      <c r="D66" s="812" t="s">
        <v>2074</v>
      </c>
      <c r="E66" s="332" t="s">
        <v>1857</v>
      </c>
    </row>
    <row r="67" spans="1:5" ht="15" customHeight="1">
      <c r="B67" s="323" t="s">
        <v>104</v>
      </c>
      <c r="C67" s="346">
        <f>SUM(54.2%*C6+18.5%*C18+9.8%*C21+6.9%*C24+4.9%*C11+2.2%*C32+3.5%*C20)/C81</f>
        <v>0.15424689506457936</v>
      </c>
      <c r="D67" s="812" t="s">
        <v>2074</v>
      </c>
      <c r="E67" s="350" t="s">
        <v>1824</v>
      </c>
    </row>
    <row r="68" spans="1:5" s="784" customFormat="1" ht="15" customHeight="1">
      <c r="A68" s="795"/>
      <c r="B68" s="323" t="s">
        <v>2155</v>
      </c>
      <c r="C68" s="796"/>
      <c r="D68" s="797"/>
      <c r="E68" s="846"/>
    </row>
    <row r="69" spans="1:5" ht="15" customHeight="1">
      <c r="B69" s="323" t="s">
        <v>174</v>
      </c>
      <c r="C69" s="346">
        <f>C11/C81</f>
        <v>0.48033178709928825</v>
      </c>
      <c r="D69" s="812" t="s">
        <v>2074</v>
      </c>
      <c r="E69" s="332" t="s">
        <v>1857</v>
      </c>
    </row>
    <row r="70" spans="1:5" ht="15" customHeight="1">
      <c r="B70" s="332" t="s">
        <v>175</v>
      </c>
      <c r="C70" s="497">
        <f>C15/C81</f>
        <v>0.33404984490252232</v>
      </c>
      <c r="D70" s="812" t="s">
        <v>2074</v>
      </c>
      <c r="E70" s="332" t="s">
        <v>1857</v>
      </c>
    </row>
    <row r="71" spans="1:5" ht="15" customHeight="1">
      <c r="B71" s="323" t="s">
        <v>176</v>
      </c>
      <c r="C71" s="346">
        <f>C18/C81</f>
        <v>0.2488154135807786</v>
      </c>
      <c r="D71" s="812" t="s">
        <v>2074</v>
      </c>
      <c r="E71" s="332" t="s">
        <v>1857</v>
      </c>
    </row>
    <row r="72" spans="1:5" ht="15" customHeight="1">
      <c r="B72" s="323" t="s">
        <v>177</v>
      </c>
      <c r="C72" s="346">
        <f>C21/0.8</f>
        <v>0.46019344356445069</v>
      </c>
      <c r="D72" s="812" t="s">
        <v>2074</v>
      </c>
      <c r="E72" s="332" t="s">
        <v>1857</v>
      </c>
    </row>
    <row r="73" spans="1:5" ht="15" customHeight="1">
      <c r="A73" s="297"/>
      <c r="B73" s="453" t="s">
        <v>178</v>
      </c>
      <c r="C73" s="346">
        <f>C32/C81</f>
        <v>0.34838235527488004</v>
      </c>
      <c r="D73" s="812" t="s">
        <v>2074</v>
      </c>
      <c r="E73" s="332" t="s">
        <v>1857</v>
      </c>
    </row>
    <row r="74" spans="1:5" ht="15" customHeight="1">
      <c r="B74" s="323" t="s">
        <v>1826</v>
      </c>
      <c r="C74" s="342">
        <f>C6/C82</f>
        <v>2.8146399647099602E-4</v>
      </c>
      <c r="D74" s="812" t="s">
        <v>2074</v>
      </c>
      <c r="E74" s="332" t="s">
        <v>1858</v>
      </c>
    </row>
    <row r="75" spans="1:5" ht="15" customHeight="1">
      <c r="B75" s="323" t="s">
        <v>1827</v>
      </c>
      <c r="C75" s="346">
        <f>C11/C81</f>
        <v>0.48033178709928825</v>
      </c>
      <c r="D75" s="812" t="s">
        <v>2074</v>
      </c>
      <c r="E75" s="332" t="s">
        <v>1858</v>
      </c>
    </row>
    <row r="76" spans="1:5" ht="15" customHeight="1">
      <c r="B76" s="332" t="s">
        <v>1828</v>
      </c>
      <c r="C76" s="346">
        <f>C15/C82</f>
        <v>0.29693319546890873</v>
      </c>
      <c r="D76" s="812" t="s">
        <v>2074</v>
      </c>
      <c r="E76" s="332" t="s">
        <v>1858</v>
      </c>
    </row>
    <row r="77" spans="1:5" ht="15" customHeight="1">
      <c r="B77" s="323" t="s">
        <v>1829</v>
      </c>
      <c r="C77" s="346">
        <f>C18/C82</f>
        <v>0.22116925651624766</v>
      </c>
      <c r="D77" s="812" t="s">
        <v>2074</v>
      </c>
      <c r="E77" s="332" t="s">
        <v>1858</v>
      </c>
    </row>
    <row r="78" spans="1:5" ht="15" customHeight="1">
      <c r="B78" s="323" t="s">
        <v>1830</v>
      </c>
      <c r="C78" s="346">
        <f>C32/C82</f>
        <v>0.30967320468878229</v>
      </c>
      <c r="D78" s="812" t="s">
        <v>2074</v>
      </c>
      <c r="E78" s="332" t="s">
        <v>1858</v>
      </c>
    </row>
    <row r="79" spans="1:5" ht="15" customHeight="1">
      <c r="C79" s="364"/>
      <c r="E79" s="498"/>
    </row>
    <row r="80" spans="1:5" ht="15" customHeight="1">
      <c r="B80" s="402" t="s">
        <v>1860</v>
      </c>
      <c r="C80" s="499" t="s">
        <v>1859</v>
      </c>
      <c r="E80" s="498"/>
    </row>
    <row r="81" spans="2:5" ht="15" customHeight="1">
      <c r="B81" s="323" t="s">
        <v>1856</v>
      </c>
      <c r="C81" s="348">
        <v>0.8</v>
      </c>
      <c r="E81" s="498"/>
    </row>
    <row r="82" spans="2:5" ht="15" customHeight="1">
      <c r="B82" s="323" t="s">
        <v>1855</v>
      </c>
      <c r="C82" s="348">
        <v>0.9</v>
      </c>
      <c r="E82" s="498"/>
    </row>
  </sheetData>
  <mergeCells count="4">
    <mergeCell ref="C46:C47"/>
    <mergeCell ref="B46:B47"/>
    <mergeCell ref="D46:D47"/>
    <mergeCell ref="E46:E47"/>
  </mergeCells>
  <hyperlinks>
    <hyperlink ref="A2" location="Sisukord!A1" display="Sisukord"/>
  </hyperlink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I61"/>
  <sheetViews>
    <sheetView showGridLines="0" zoomScale="90" zoomScaleNormal="90" workbookViewId="0">
      <pane xSplit="1" ySplit="1" topLeftCell="B11" activePane="bottomRight" state="frozen"/>
      <selection activeCell="B5" sqref="B5"/>
      <selection pane="topRight" activeCell="B5" sqref="B5"/>
      <selection pane="bottomLeft" activeCell="B5" sqref="B5"/>
      <selection pane="bottomRight" activeCell="B30" sqref="B30:D30"/>
    </sheetView>
  </sheetViews>
  <sheetFormatPr defaultColWidth="9.453125" defaultRowHeight="15" customHeight="1"/>
  <cols>
    <col min="1" max="1" width="7.1796875" style="302" customWidth="1"/>
    <col min="2" max="2" width="52.81640625" style="297" customWidth="1"/>
    <col min="3" max="3" width="15.7265625" style="365" customWidth="1"/>
    <col min="4" max="4" width="15.7265625" style="297" customWidth="1"/>
    <col min="5" max="5" width="126.7265625" style="297" customWidth="1"/>
    <col min="6" max="8" width="9.453125" style="297" customWidth="1"/>
    <col min="9" max="16384" width="9.453125" style="297"/>
  </cols>
  <sheetData>
    <row r="1" spans="1:5" ht="21" customHeight="1">
      <c r="B1" s="291" t="s">
        <v>314</v>
      </c>
      <c r="C1" s="297"/>
    </row>
    <row r="2" spans="1:5" ht="15" customHeight="1">
      <c r="A2" s="295" t="s">
        <v>1</v>
      </c>
    </row>
    <row r="3" spans="1:5" ht="15" customHeight="1">
      <c r="A3" s="297"/>
      <c r="B3" s="320" t="s">
        <v>2263</v>
      </c>
      <c r="C3" s="328"/>
      <c r="D3" s="329"/>
      <c r="E3" s="484"/>
    </row>
    <row r="4" spans="1:5" ht="15" customHeight="1">
      <c r="A4" s="297"/>
      <c r="B4" s="356" t="s">
        <v>1976</v>
      </c>
      <c r="C4" s="331" t="s">
        <v>126</v>
      </c>
      <c r="D4" s="331" t="s">
        <v>81</v>
      </c>
      <c r="E4" s="356" t="s">
        <v>142</v>
      </c>
    </row>
    <row r="5" spans="1:5" ht="15" customHeight="1">
      <c r="A5" s="297"/>
      <c r="B5" s="323" t="s">
        <v>1964</v>
      </c>
      <c r="C5" s="348">
        <f>Eriheited!G68</f>
        <v>2.2592161330623846</v>
      </c>
      <c r="D5" s="324" t="s">
        <v>2011</v>
      </c>
      <c r="E5" s="323" t="s">
        <v>1950</v>
      </c>
    </row>
    <row r="6" spans="1:5" ht="15" customHeight="1">
      <c r="A6" s="297"/>
      <c r="B6" s="323" t="s">
        <v>1965</v>
      </c>
      <c r="C6" s="348">
        <f>Eriheited!G69</f>
        <v>0.14198816797229916</v>
      </c>
      <c r="D6" s="324" t="s">
        <v>2011</v>
      </c>
      <c r="E6" s="323" t="s">
        <v>1951</v>
      </c>
    </row>
    <row r="7" spans="1:5" ht="15" customHeight="1">
      <c r="A7" s="297"/>
      <c r="B7" s="323" t="s">
        <v>1966</v>
      </c>
      <c r="C7" s="348">
        <f>Eriheited!G70</f>
        <v>3.5000000000000003E-2</v>
      </c>
      <c r="D7" s="324" t="s">
        <v>2011</v>
      </c>
      <c r="E7" s="323" t="s">
        <v>315</v>
      </c>
    </row>
    <row r="8" spans="1:5" ht="15" customHeight="1">
      <c r="A8" s="297"/>
      <c r="B8" s="323" t="s">
        <v>1967</v>
      </c>
      <c r="C8" s="348">
        <f>Eriheited!G71</f>
        <v>0.16800000000000001</v>
      </c>
      <c r="D8" s="324" t="s">
        <v>2011</v>
      </c>
      <c r="E8" s="323" t="s">
        <v>315</v>
      </c>
    </row>
    <row r="9" spans="1:5" ht="15" customHeight="1">
      <c r="B9" s="360" t="s">
        <v>1968</v>
      </c>
      <c r="C9" s="348">
        <f>Eriheited!G72</f>
        <v>2.6420579420841572</v>
      </c>
      <c r="D9" s="324" t="s">
        <v>2011</v>
      </c>
      <c r="E9" s="332" t="s">
        <v>1942</v>
      </c>
    </row>
    <row r="10" spans="1:5" ht="15" customHeight="1">
      <c r="B10" s="360" t="s">
        <v>1969</v>
      </c>
      <c r="C10" s="348">
        <f>Eriheited!G73</f>
        <v>1.3994051131894981E-2</v>
      </c>
      <c r="D10" s="363" t="s">
        <v>2016</v>
      </c>
      <c r="E10" s="323" t="s">
        <v>1952</v>
      </c>
    </row>
    <row r="11" spans="1:5" ht="15" customHeight="1">
      <c r="B11" s="323" t="s">
        <v>1970</v>
      </c>
      <c r="C11" s="348">
        <f>Eriheited!G74</f>
        <v>2.7215707177985613</v>
      </c>
      <c r="D11" s="363" t="s">
        <v>2016</v>
      </c>
      <c r="E11" s="323" t="s">
        <v>1952</v>
      </c>
    </row>
    <row r="12" spans="1:5" ht="15" customHeight="1">
      <c r="B12" s="360" t="s">
        <v>1971</v>
      </c>
      <c r="C12" s="348">
        <f>Eriheited!G75</f>
        <v>2.9303372445176228</v>
      </c>
      <c r="D12" s="363" t="s">
        <v>2016</v>
      </c>
      <c r="E12" s="323" t="s">
        <v>1953</v>
      </c>
    </row>
    <row r="13" spans="1:5" ht="15" customHeight="1">
      <c r="B13" s="332" t="s">
        <v>1972</v>
      </c>
      <c r="C13" s="348">
        <f>Eriheited!G76</f>
        <v>2.9173501059263751</v>
      </c>
      <c r="D13" s="324" t="s">
        <v>2011</v>
      </c>
      <c r="E13" s="332" t="s">
        <v>1942</v>
      </c>
    </row>
    <row r="14" spans="1:5" ht="15" customHeight="1">
      <c r="A14" s="297"/>
      <c r="B14" s="323" t="s">
        <v>1973</v>
      </c>
      <c r="C14" s="348">
        <f>Eriheited!G77</f>
        <v>2.6369855264263755</v>
      </c>
      <c r="D14" s="324" t="s">
        <v>2011</v>
      </c>
      <c r="E14" s="332" t="s">
        <v>1942</v>
      </c>
    </row>
    <row r="15" spans="1:5" ht="15" customHeight="1">
      <c r="B15" s="323" t="s">
        <v>1974</v>
      </c>
      <c r="C15" s="348">
        <f>Eriheited!G78</f>
        <v>2.2509999999999999</v>
      </c>
      <c r="D15" s="324" t="s">
        <v>2011</v>
      </c>
      <c r="E15" s="323" t="s">
        <v>317</v>
      </c>
    </row>
    <row r="16" spans="1:5" ht="15" customHeight="1">
      <c r="B16" s="323" t="s">
        <v>1975</v>
      </c>
      <c r="C16" s="348">
        <f>Eriheited!G79</f>
        <v>2.3601200426599149</v>
      </c>
      <c r="D16" s="324" t="s">
        <v>2011</v>
      </c>
      <c r="E16" s="323" t="s">
        <v>1954</v>
      </c>
    </row>
    <row r="17" spans="1:9" ht="15" customHeight="1">
      <c r="C17" s="364"/>
    </row>
    <row r="19" spans="1:9" ht="15" customHeight="1">
      <c r="B19" s="320" t="s">
        <v>2264</v>
      </c>
      <c r="C19" s="328"/>
      <c r="D19" s="329"/>
      <c r="E19" s="484"/>
    </row>
    <row r="20" spans="1:9" ht="15" customHeight="1">
      <c r="B20" s="356" t="s">
        <v>2138</v>
      </c>
      <c r="C20" s="331" t="s">
        <v>126</v>
      </c>
      <c r="D20" s="366" t="s">
        <v>81</v>
      </c>
      <c r="E20" s="356" t="s">
        <v>142</v>
      </c>
    </row>
    <row r="21" spans="1:9" ht="15" customHeight="1">
      <c r="A21" s="297"/>
      <c r="B21" s="360" t="s">
        <v>1977</v>
      </c>
      <c r="C21" s="362">
        <f>Eriheited!G102</f>
        <v>2.2584163556740515</v>
      </c>
      <c r="D21" s="324" t="s">
        <v>2011</v>
      </c>
      <c r="E21" s="323" t="s">
        <v>1950</v>
      </c>
      <c r="F21" s="485"/>
      <c r="G21" s="485"/>
      <c r="H21" s="485"/>
    </row>
    <row r="22" spans="1:9" ht="15" customHeight="1">
      <c r="B22" s="360" t="s">
        <v>1978</v>
      </c>
      <c r="C22" s="362">
        <f>Eriheited!G103</f>
        <v>2.2989104263065072</v>
      </c>
      <c r="D22" s="324" t="s">
        <v>2011</v>
      </c>
      <c r="E22" s="323" t="s">
        <v>1950</v>
      </c>
      <c r="F22" s="485"/>
      <c r="G22" s="485"/>
      <c r="H22" s="485"/>
    </row>
    <row r="23" spans="1:9" ht="15" customHeight="1">
      <c r="B23" s="323" t="s">
        <v>1979</v>
      </c>
      <c r="C23" s="362">
        <f>Eriheited!G104</f>
        <v>2.2644345855031287</v>
      </c>
      <c r="D23" s="324" t="s">
        <v>2011</v>
      </c>
      <c r="E23" s="323" t="s">
        <v>1950</v>
      </c>
      <c r="F23" s="485"/>
      <c r="G23" s="485"/>
      <c r="H23" s="485"/>
    </row>
    <row r="24" spans="1:9" ht="15" customHeight="1">
      <c r="B24" s="323" t="s">
        <v>1980</v>
      </c>
      <c r="C24" s="362">
        <f>Eriheited!G105</f>
        <v>2.25884374011761</v>
      </c>
      <c r="D24" s="324" t="s">
        <v>2011</v>
      </c>
      <c r="E24" s="323" t="s">
        <v>1950</v>
      </c>
      <c r="F24" s="485"/>
      <c r="G24" s="485"/>
      <c r="H24" s="485"/>
      <c r="I24" s="374"/>
    </row>
    <row r="25" spans="1:9" ht="15" customHeight="1">
      <c r="B25" s="323" t="s">
        <v>1981</v>
      </c>
      <c r="C25" s="362">
        <f>Eriheited!G106</f>
        <v>1.369294808464085E-2</v>
      </c>
      <c r="D25" s="363" t="s">
        <v>2016</v>
      </c>
      <c r="E25" s="323" t="s">
        <v>1959</v>
      </c>
      <c r="F25" s="485"/>
      <c r="G25" s="485"/>
      <c r="I25" s="374"/>
    </row>
    <row r="26" spans="1:9" ht="15" customHeight="1">
      <c r="B26" s="323" t="s">
        <v>1982</v>
      </c>
      <c r="C26" s="362">
        <f>Eriheited!G107</f>
        <v>1.5760209037695243E-2</v>
      </c>
      <c r="D26" s="363" t="s">
        <v>2016</v>
      </c>
      <c r="E26" s="332" t="s">
        <v>1960</v>
      </c>
      <c r="F26" s="485"/>
      <c r="G26" s="485"/>
    </row>
    <row r="27" spans="1:9" ht="15" customHeight="1">
      <c r="B27" s="360" t="s">
        <v>1983</v>
      </c>
      <c r="C27" s="362">
        <f>Eriheited!G108</f>
        <v>1.369294808464085E-2</v>
      </c>
      <c r="D27" s="363" t="s">
        <v>2016</v>
      </c>
      <c r="E27" s="323" t="s">
        <v>1960</v>
      </c>
      <c r="F27" s="485"/>
      <c r="G27" s="485"/>
    </row>
    <row r="28" spans="1:9" ht="15" customHeight="1">
      <c r="B28" s="323" t="s">
        <v>1984</v>
      </c>
      <c r="C28" s="362">
        <f>Eriheited!G109</f>
        <v>2.7212696147513071</v>
      </c>
      <c r="D28" s="363" t="s">
        <v>2016</v>
      </c>
      <c r="E28" s="323" t="s">
        <v>1961</v>
      </c>
      <c r="F28" s="485"/>
      <c r="G28" s="485"/>
    </row>
    <row r="29" spans="1:9" ht="15" customHeight="1">
      <c r="B29" s="323" t="s">
        <v>1985</v>
      </c>
      <c r="C29" s="362">
        <f>Eriheited!G110</f>
        <v>2.7233368757043617</v>
      </c>
      <c r="D29" s="363" t="s">
        <v>2016</v>
      </c>
      <c r="E29" s="323" t="s">
        <v>1960</v>
      </c>
      <c r="F29" s="485"/>
      <c r="G29" s="485"/>
    </row>
    <row r="30" spans="1:9" ht="15" customHeight="1">
      <c r="A30" s="297"/>
      <c r="B30" s="360" t="s">
        <v>1986</v>
      </c>
      <c r="C30" s="362">
        <f>Eriheited!G111</f>
        <v>2.7212696147513071</v>
      </c>
      <c r="D30" s="363" t="s">
        <v>2016</v>
      </c>
      <c r="E30" s="323" t="s">
        <v>1960</v>
      </c>
      <c r="F30" s="485"/>
      <c r="G30" s="485"/>
    </row>
    <row r="31" spans="1:9" ht="15" customHeight="1">
      <c r="B31" s="360" t="s">
        <v>1987</v>
      </c>
      <c r="C31" s="362">
        <f>Eriheited!G112</f>
        <v>2.6456243221875493</v>
      </c>
      <c r="D31" s="324" t="s">
        <v>2011</v>
      </c>
      <c r="E31" s="323" t="s">
        <v>1942</v>
      </c>
      <c r="F31" s="485"/>
      <c r="G31" s="485"/>
    </row>
    <row r="32" spans="1:9" ht="15" customHeight="1">
      <c r="B32" s="360" t="s">
        <v>1988</v>
      </c>
      <c r="C32" s="362">
        <f>Eriheited!G113</f>
        <v>2.6354162470633744</v>
      </c>
      <c r="D32" s="324" t="s">
        <v>2011</v>
      </c>
      <c r="E32" s="323" t="s">
        <v>1942</v>
      </c>
      <c r="F32" s="485"/>
      <c r="G32" s="485"/>
    </row>
    <row r="33" spans="1:9" ht="15" customHeight="1">
      <c r="B33" s="323" t="s">
        <v>1989</v>
      </c>
      <c r="C33" s="362">
        <f>Eriheited!G114</f>
        <v>2.6456243221875493</v>
      </c>
      <c r="D33" s="324" t="s">
        <v>2011</v>
      </c>
      <c r="E33" s="323" t="s">
        <v>1942</v>
      </c>
      <c r="F33" s="485"/>
      <c r="G33" s="485"/>
    </row>
    <row r="34" spans="1:9" ht="15" customHeight="1">
      <c r="B34" s="323" t="s">
        <v>1990</v>
      </c>
      <c r="C34" s="362">
        <f>Eriheited!G115</f>
        <v>2.6421820289063431</v>
      </c>
      <c r="D34" s="324" t="s">
        <v>2011</v>
      </c>
      <c r="E34" s="323" t="s">
        <v>1942</v>
      </c>
      <c r="F34" s="485"/>
      <c r="G34" s="485"/>
      <c r="I34" s="374"/>
    </row>
    <row r="35" spans="1:9" ht="15" customHeight="1">
      <c r="B35" s="323" t="s">
        <v>1991</v>
      </c>
      <c r="C35" s="362">
        <f>Eriheited!G116</f>
        <v>2.9303372445176228</v>
      </c>
      <c r="D35" s="363" t="s">
        <v>2016</v>
      </c>
      <c r="E35" s="323" t="s">
        <v>1953</v>
      </c>
      <c r="F35" s="485"/>
      <c r="G35" s="485"/>
      <c r="I35" s="374"/>
    </row>
    <row r="36" spans="1:9" ht="15" customHeight="1">
      <c r="B36" s="323" t="s">
        <v>1992</v>
      </c>
      <c r="C36" s="362">
        <f>Eriheited!G117</f>
        <v>2.9303372445176228</v>
      </c>
      <c r="D36" s="363" t="s">
        <v>2016</v>
      </c>
      <c r="E36" s="323" t="s">
        <v>1953</v>
      </c>
      <c r="F36" s="485"/>
      <c r="G36" s="485"/>
    </row>
    <row r="37" spans="1:9" ht="15" customHeight="1">
      <c r="B37" s="323" t="s">
        <v>1993</v>
      </c>
      <c r="C37" s="362">
        <f>Eriheited!G118</f>
        <v>2.9303372445176228</v>
      </c>
      <c r="D37" s="363" t="s">
        <v>2016</v>
      </c>
      <c r="E37" s="323" t="s">
        <v>1962</v>
      </c>
      <c r="F37" s="485"/>
      <c r="G37" s="485"/>
    </row>
    <row r="39" spans="1:9" ht="15" customHeight="1">
      <c r="B39" s="373"/>
      <c r="C39" s="297"/>
      <c r="D39" s="375"/>
      <c r="E39" s="364"/>
    </row>
    <row r="40" spans="1:9" ht="15" customHeight="1">
      <c r="B40" s="320" t="s">
        <v>2265</v>
      </c>
      <c r="C40" s="329"/>
      <c r="D40" s="329"/>
      <c r="E40" s="484"/>
    </row>
    <row r="41" spans="1:9" ht="15" customHeight="1">
      <c r="B41" s="847" t="s">
        <v>2262</v>
      </c>
      <c r="C41" s="376" t="s">
        <v>126</v>
      </c>
      <c r="D41" s="376" t="s">
        <v>81</v>
      </c>
      <c r="E41" s="848" t="s">
        <v>142</v>
      </c>
    </row>
    <row r="42" spans="1:9" ht="15" customHeight="1">
      <c r="B42" s="360" t="s">
        <v>1705</v>
      </c>
      <c r="C42" s="348">
        <f>Eriheited!G123</f>
        <v>0.18053987907914804</v>
      </c>
      <c r="D42" s="332" t="s">
        <v>2017</v>
      </c>
      <c r="E42" s="323" t="s">
        <v>2344</v>
      </c>
    </row>
    <row r="43" spans="1:9" ht="15" customHeight="1">
      <c r="A43" s="297"/>
      <c r="B43" s="426" t="s">
        <v>1703</v>
      </c>
      <c r="C43" s="348">
        <f>Eriheited!G124</f>
        <v>0.19120832501511228</v>
      </c>
      <c r="D43" s="332" t="s">
        <v>2017</v>
      </c>
      <c r="E43" s="323" t="s">
        <v>1941</v>
      </c>
    </row>
    <row r="44" spans="1:9" ht="15" customHeight="1">
      <c r="A44" s="297"/>
      <c r="B44" s="426" t="s">
        <v>2257</v>
      </c>
      <c r="C44" s="348">
        <f>Eriheited!G125</f>
        <v>0.24403339431076276</v>
      </c>
      <c r="D44" s="332" t="s">
        <v>2017</v>
      </c>
      <c r="E44" s="323" t="s">
        <v>1941</v>
      </c>
    </row>
    <row r="45" spans="1:9" ht="15" customHeight="1">
      <c r="A45" s="297"/>
      <c r="B45" s="426" t="s">
        <v>1704</v>
      </c>
      <c r="C45" s="348">
        <f>Eriheited!G126</f>
        <v>0.1924289555597079</v>
      </c>
      <c r="D45" s="332" t="s">
        <v>2017</v>
      </c>
      <c r="E45" s="323" t="s">
        <v>2340</v>
      </c>
    </row>
    <row r="46" spans="1:9" ht="15" customHeight="1">
      <c r="A46" s="297"/>
      <c r="B46" s="426" t="s">
        <v>2258</v>
      </c>
      <c r="C46" s="348">
        <f>Eriheited!G127</f>
        <v>0.16174245288907316</v>
      </c>
      <c r="D46" s="332" t="s">
        <v>2017</v>
      </c>
      <c r="E46" s="323" t="s">
        <v>1941</v>
      </c>
    </row>
    <row r="47" spans="1:9" ht="15" customHeight="1">
      <c r="B47" s="849" t="s">
        <v>1707</v>
      </c>
      <c r="C47" s="348">
        <f>Eriheited!G128</f>
        <v>0.15060969005304506</v>
      </c>
      <c r="D47" s="332" t="s">
        <v>2017</v>
      </c>
      <c r="E47" s="323" t="s">
        <v>1941</v>
      </c>
    </row>
    <row r="48" spans="1:9" ht="15" customHeight="1">
      <c r="B48" s="426" t="s">
        <v>2259</v>
      </c>
      <c r="C48" s="348">
        <f>Eriheited!G129</f>
        <v>0.20158327522460634</v>
      </c>
      <c r="D48" s="332" t="s">
        <v>2017</v>
      </c>
      <c r="E48" s="323" t="s">
        <v>1941</v>
      </c>
    </row>
    <row r="49" spans="2:5" ht="15" customHeight="1">
      <c r="B49" s="849" t="s">
        <v>1706</v>
      </c>
      <c r="C49" s="348">
        <f>Eriheited!G130</f>
        <v>0.17285566668204541</v>
      </c>
      <c r="D49" s="332" t="s">
        <v>2017</v>
      </c>
      <c r="E49" s="323" t="s">
        <v>2341</v>
      </c>
    </row>
    <row r="50" spans="2:5" ht="15" customHeight="1">
      <c r="B50" s="849" t="s">
        <v>1701</v>
      </c>
      <c r="C50" s="348">
        <f>Eriheited!G131</f>
        <v>0.15040628644703238</v>
      </c>
      <c r="D50" s="332" t="s">
        <v>2017</v>
      </c>
      <c r="E50" s="323" t="s">
        <v>1941</v>
      </c>
    </row>
    <row r="51" spans="2:5" ht="15" customHeight="1">
      <c r="B51" s="427" t="s">
        <v>2248</v>
      </c>
      <c r="C51" s="348">
        <f>Eriheited!G132</f>
        <v>0.11987633056454484</v>
      </c>
      <c r="D51" s="332" t="s">
        <v>2017</v>
      </c>
      <c r="E51" s="323" t="s">
        <v>1941</v>
      </c>
    </row>
    <row r="52" spans="2:5" ht="15" customHeight="1">
      <c r="B52" s="427" t="s">
        <v>2249</v>
      </c>
      <c r="C52" s="348">
        <f>Eriheited!G133</f>
        <v>0.1199122049405849</v>
      </c>
      <c r="D52" s="332" t="s">
        <v>2017</v>
      </c>
      <c r="E52" s="323" t="s">
        <v>1941</v>
      </c>
    </row>
    <row r="53" spans="2:5" ht="15" customHeight="1">
      <c r="B53" s="427" t="s">
        <v>2250</v>
      </c>
      <c r="C53" s="348">
        <f>Eriheited!G134</f>
        <v>0.12247907183070279</v>
      </c>
      <c r="D53" s="332" t="s">
        <v>2017</v>
      </c>
      <c r="E53" s="427" t="s">
        <v>2342</v>
      </c>
    </row>
    <row r="54" spans="2:5" ht="15" customHeight="1">
      <c r="B54" s="427" t="s">
        <v>2251</v>
      </c>
      <c r="C54" s="348">
        <f>Eriheited!G135</f>
        <v>0.12644023246913397</v>
      </c>
      <c r="D54" s="332" t="s">
        <v>2017</v>
      </c>
      <c r="E54" s="323" t="s">
        <v>1941</v>
      </c>
    </row>
    <row r="55" spans="2:5" ht="15" customHeight="1">
      <c r="B55" s="360" t="s">
        <v>1702</v>
      </c>
      <c r="C55" s="348">
        <f>Eriheited!G136</f>
        <v>0.17857103229051885</v>
      </c>
      <c r="D55" s="332" t="s">
        <v>2017</v>
      </c>
      <c r="E55" s="323" t="s">
        <v>2343</v>
      </c>
    </row>
    <row r="56" spans="2:5" ht="15" customHeight="1">
      <c r="B56" s="383" t="s">
        <v>2252</v>
      </c>
      <c r="C56" s="348">
        <f>Eriheited!G137</f>
        <v>0.14432171666978094</v>
      </c>
      <c r="D56" s="332" t="s">
        <v>2017</v>
      </c>
      <c r="E56" s="332" t="s">
        <v>2254</v>
      </c>
    </row>
    <row r="57" spans="2:5" ht="15" customHeight="1">
      <c r="B57" s="383" t="s">
        <v>2253</v>
      </c>
      <c r="C57" s="348">
        <f>Eriheited!G139</f>
        <v>0.12964175001153405</v>
      </c>
      <c r="D57" s="332" t="s">
        <v>2017</v>
      </c>
      <c r="E57" s="332" t="s">
        <v>2255</v>
      </c>
    </row>
    <row r="58" spans="2:5" ht="15" customHeight="1">
      <c r="B58" s="360" t="s">
        <v>1508</v>
      </c>
      <c r="C58" s="348">
        <f>Eriheited!G141</f>
        <v>7.8774591971879945E-4</v>
      </c>
      <c r="D58" s="332" t="s">
        <v>2017</v>
      </c>
      <c r="E58" s="332" t="s">
        <v>1894</v>
      </c>
    </row>
    <row r="59" spans="2:5" ht="15" customHeight="1">
      <c r="B59" s="360" t="s">
        <v>92</v>
      </c>
      <c r="C59" s="348">
        <f>Eriheited!G142</f>
        <v>0.15655277608768631</v>
      </c>
      <c r="D59" s="332" t="s">
        <v>2017</v>
      </c>
      <c r="E59" s="332" t="s">
        <v>1941</v>
      </c>
    </row>
    <row r="60" spans="2:5" ht="15" customHeight="1">
      <c r="B60" s="360" t="s">
        <v>335</v>
      </c>
      <c r="C60" s="348">
        <f>Eriheited!G144</f>
        <v>0.16231598784654178</v>
      </c>
      <c r="D60" s="332" t="s">
        <v>2017</v>
      </c>
      <c r="E60" s="332" t="s">
        <v>1941</v>
      </c>
    </row>
    <row r="61" spans="2:5" ht="15" customHeight="1">
      <c r="B61" s="373"/>
      <c r="C61" s="463"/>
      <c r="D61" s="375"/>
      <c r="E61" s="364"/>
    </row>
  </sheetData>
  <sortState ref="B43:E60">
    <sortCondition ref="B42:B60"/>
  </sortState>
  <hyperlinks>
    <hyperlink ref="A2" location="Sisukord!A1" display="Sisukord"/>
  </hyperlink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79998168889431442"/>
  </sheetPr>
  <dimension ref="A1:L42"/>
  <sheetViews>
    <sheetView showGridLines="0" zoomScale="90" zoomScaleNormal="90" workbookViewId="0">
      <pane xSplit="1" ySplit="1" topLeftCell="B2" activePane="bottomRight" state="frozen"/>
      <selection pane="topRight" activeCell="B1" sqref="B1"/>
      <selection pane="bottomLeft" activeCell="A2" sqref="A2"/>
      <selection pane="bottomRight" activeCell="C24" sqref="C24"/>
    </sheetView>
  </sheetViews>
  <sheetFormatPr defaultColWidth="9.453125" defaultRowHeight="15" customHeight="1"/>
  <cols>
    <col min="1" max="1" width="7.1796875" style="302" customWidth="1"/>
    <col min="2" max="2" width="27.26953125" style="302" customWidth="1"/>
    <col min="3" max="3" width="154.54296875" style="302" customWidth="1"/>
    <col min="4" max="7" width="9.453125" style="302"/>
    <col min="8" max="8" width="11.453125" style="302" customWidth="1"/>
    <col min="9" max="16384" width="9.453125" style="302"/>
  </cols>
  <sheetData>
    <row r="1" spans="1:8" ht="21" customHeight="1">
      <c r="A1" s="293"/>
      <c r="B1" s="292" t="s">
        <v>8</v>
      </c>
    </row>
    <row r="2" spans="1:8" ht="15" customHeight="1">
      <c r="A2" s="295" t="s">
        <v>1</v>
      </c>
      <c r="B2" s="659"/>
    </row>
    <row r="3" spans="1:8" s="482" customFormat="1" ht="15" customHeight="1">
      <c r="A3" s="747"/>
      <c r="B3" s="748" t="s">
        <v>9</v>
      </c>
      <c r="C3" s="749" t="s">
        <v>10</v>
      </c>
      <c r="E3" s="892" t="s">
        <v>2193</v>
      </c>
      <c r="F3" s="893"/>
      <c r="G3" s="893"/>
      <c r="H3" s="894"/>
    </row>
    <row r="4" spans="1:8" s="297" customFormat="1" ht="15" customHeight="1">
      <c r="B4" s="750" t="s">
        <v>1</v>
      </c>
      <c r="C4" s="751" t="s">
        <v>2191</v>
      </c>
      <c r="E4" s="323"/>
      <c r="F4" s="323" t="s">
        <v>2194</v>
      </c>
      <c r="G4" s="852"/>
      <c r="H4" s="323"/>
    </row>
    <row r="5" spans="1:8" s="482" customFormat="1" ht="15" customHeight="1">
      <c r="A5" s="747"/>
      <c r="B5" s="748" t="s">
        <v>11</v>
      </c>
      <c r="C5" s="752" t="s">
        <v>12</v>
      </c>
      <c r="E5" s="853"/>
      <c r="F5" s="323" t="s">
        <v>2195</v>
      </c>
      <c r="G5" s="852"/>
      <c r="H5" s="323"/>
    </row>
    <row r="6" spans="1:8" s="297" customFormat="1" ht="15" customHeight="1">
      <c r="A6" s="302"/>
      <c r="B6" s="753"/>
      <c r="E6" s="854"/>
      <c r="F6" s="453" t="s">
        <v>2196</v>
      </c>
      <c r="G6" s="453"/>
      <c r="H6" s="453"/>
    </row>
    <row r="7" spans="1:8" s="297" customFormat="1" ht="15" customHeight="1">
      <c r="A7" s="302"/>
      <c r="B7" s="754" t="s">
        <v>13</v>
      </c>
      <c r="E7" s="855"/>
      <c r="F7" s="324" t="s">
        <v>2197</v>
      </c>
      <c r="G7" s="856"/>
      <c r="H7" s="326"/>
    </row>
    <row r="8" spans="1:8" s="482" customFormat="1" ht="15" customHeight="1">
      <c r="A8" s="302"/>
      <c r="B8" s="756" t="s">
        <v>14</v>
      </c>
      <c r="C8" s="757" t="s">
        <v>15</v>
      </c>
      <c r="E8" s="857"/>
      <c r="F8" s="327" t="s">
        <v>2198</v>
      </c>
      <c r="G8" s="327"/>
      <c r="H8" s="327"/>
    </row>
    <row r="9" spans="1:8" s="482" customFormat="1" ht="15" customHeight="1">
      <c r="A9" s="302"/>
      <c r="B9" s="756" t="s">
        <v>16</v>
      </c>
      <c r="C9" s="757" t="s">
        <v>2260</v>
      </c>
    </row>
    <row r="10" spans="1:8" s="755" customFormat="1" ht="15" customHeight="1">
      <c r="A10" s="302"/>
      <c r="B10" s="756" t="s">
        <v>17</v>
      </c>
      <c r="C10" s="757" t="s">
        <v>18</v>
      </c>
    </row>
    <row r="11" spans="1:8" s="755" customFormat="1" ht="15" customHeight="1">
      <c r="A11" s="302"/>
      <c r="B11" s="758"/>
      <c r="C11" s="482"/>
    </row>
    <row r="12" spans="1:8" s="297" customFormat="1" ht="15" customHeight="1">
      <c r="A12" s="302"/>
      <c r="B12" s="759" t="s">
        <v>19</v>
      </c>
    </row>
    <row r="13" spans="1:8" s="297" customFormat="1" ht="15" customHeight="1">
      <c r="A13" s="302"/>
      <c r="B13" s="760" t="s">
        <v>1580</v>
      </c>
      <c r="C13" s="761" t="s">
        <v>1582</v>
      </c>
    </row>
    <row r="14" spans="1:8" s="482" customFormat="1" ht="15" customHeight="1">
      <c r="A14" s="302"/>
      <c r="B14" s="760" t="s">
        <v>1581</v>
      </c>
      <c r="C14" s="761" t="s">
        <v>1583</v>
      </c>
    </row>
    <row r="15" spans="1:8" s="482" customFormat="1" ht="15" customHeight="1">
      <c r="A15" s="302"/>
      <c r="B15" s="758"/>
    </row>
    <row r="16" spans="1:8" s="297" customFormat="1" ht="15" customHeight="1">
      <c r="A16" s="302"/>
      <c r="B16" s="762" t="s">
        <v>20</v>
      </c>
    </row>
    <row r="17" spans="1:12" s="755" customFormat="1" ht="15" customHeight="1">
      <c r="A17" s="297"/>
      <c r="B17" s="763" t="s">
        <v>21</v>
      </c>
      <c r="C17" s="764" t="s">
        <v>1811</v>
      </c>
    </row>
    <row r="18" spans="1:12" s="755" customFormat="1" ht="15" customHeight="1">
      <c r="A18" s="297"/>
      <c r="B18" s="763" t="s">
        <v>22</v>
      </c>
      <c r="C18" s="764" t="s">
        <v>23</v>
      </c>
    </row>
    <row r="19" spans="1:12" s="755" customFormat="1" ht="15" customHeight="1">
      <c r="A19" s="297"/>
      <c r="B19" s="763" t="s">
        <v>24</v>
      </c>
      <c r="C19" s="764" t="s">
        <v>25</v>
      </c>
    </row>
    <row r="20" spans="1:12" s="755" customFormat="1" ht="15" customHeight="1">
      <c r="A20" s="297"/>
      <c r="B20" s="763" t="s">
        <v>26</v>
      </c>
      <c r="C20" s="764" t="s">
        <v>27</v>
      </c>
    </row>
    <row r="21" spans="1:12" s="755" customFormat="1" ht="15" customHeight="1">
      <c r="A21" s="297"/>
      <c r="B21" s="763" t="s">
        <v>1584</v>
      </c>
      <c r="C21" s="764" t="s">
        <v>1586</v>
      </c>
    </row>
    <row r="22" spans="1:12" s="755" customFormat="1" ht="15" customHeight="1">
      <c r="A22" s="297"/>
      <c r="B22" s="763" t="s">
        <v>1585</v>
      </c>
      <c r="C22" s="764" t="s">
        <v>1587</v>
      </c>
    </row>
    <row r="23" spans="1:12" s="755" customFormat="1" ht="15" customHeight="1">
      <c r="A23" s="302"/>
      <c r="B23" s="763" t="s">
        <v>28</v>
      </c>
      <c r="C23" s="764" t="s">
        <v>29</v>
      </c>
    </row>
    <row r="24" spans="1:12" s="755" customFormat="1" ht="15" customHeight="1">
      <c r="A24" s="302"/>
      <c r="B24" s="763" t="s">
        <v>2298</v>
      </c>
      <c r="C24" s="764" t="s">
        <v>2299</v>
      </c>
    </row>
    <row r="25" spans="1:12" s="755" customFormat="1" ht="15" customHeight="1">
      <c r="A25" s="302"/>
      <c r="B25" s="758"/>
      <c r="C25" s="482"/>
    </row>
    <row r="26" spans="1:12" ht="15" customHeight="1">
      <c r="B26" s="765" t="s">
        <v>30</v>
      </c>
    </row>
    <row r="27" spans="1:12" ht="15" customHeight="1">
      <c r="B27" s="766" t="s">
        <v>30</v>
      </c>
      <c r="C27" s="767" t="s">
        <v>31</v>
      </c>
    </row>
    <row r="28" spans="1:12" ht="15" customHeight="1">
      <c r="B28" s="768"/>
      <c r="C28" s="747"/>
    </row>
    <row r="29" spans="1:12" ht="15" customHeight="1">
      <c r="B29" s="769" t="s">
        <v>32</v>
      </c>
    </row>
    <row r="30" spans="1:12" s="297" customFormat="1" ht="15" customHeight="1">
      <c r="A30" s="302"/>
      <c r="B30" s="770" t="s">
        <v>33</v>
      </c>
      <c r="C30" s="771" t="s">
        <v>34</v>
      </c>
      <c r="L30" s="319"/>
    </row>
    <row r="31" spans="1:12" ht="15" customHeight="1">
      <c r="B31" s="770" t="s">
        <v>35</v>
      </c>
      <c r="C31" s="771" t="s">
        <v>2261</v>
      </c>
    </row>
    <row r="32" spans="1:12" ht="15" customHeight="1">
      <c r="B32" s="770" t="s">
        <v>36</v>
      </c>
      <c r="C32" s="771" t="s">
        <v>37</v>
      </c>
    </row>
    <row r="33" spans="1:3" ht="15" customHeight="1">
      <c r="B33" s="770" t="s">
        <v>38</v>
      </c>
      <c r="C33" s="771" t="s">
        <v>1812</v>
      </c>
    </row>
    <row r="34" spans="1:3" ht="15" customHeight="1">
      <c r="B34" s="770" t="s">
        <v>39</v>
      </c>
      <c r="C34" s="771" t="s">
        <v>40</v>
      </c>
    </row>
    <row r="35" spans="1:3" ht="15" customHeight="1">
      <c r="B35" s="770" t="s">
        <v>41</v>
      </c>
      <c r="C35" s="771" t="s">
        <v>42</v>
      </c>
    </row>
    <row r="36" spans="1:3" ht="15" customHeight="1">
      <c r="B36" s="770" t="s">
        <v>43</v>
      </c>
      <c r="C36" s="771" t="s">
        <v>2140</v>
      </c>
    </row>
    <row r="38" spans="1:3" ht="15" customHeight="1">
      <c r="B38" s="772" t="s">
        <v>1821</v>
      </c>
      <c r="C38" s="778" t="s">
        <v>2141</v>
      </c>
    </row>
    <row r="39" spans="1:3" ht="15" customHeight="1">
      <c r="B39" s="772" t="s">
        <v>2143</v>
      </c>
      <c r="C39" s="778" t="s">
        <v>2192</v>
      </c>
    </row>
    <row r="40" spans="1:3" ht="15" customHeight="1">
      <c r="B40" s="772" t="s">
        <v>44</v>
      </c>
      <c r="C40" s="773" t="s">
        <v>45</v>
      </c>
    </row>
    <row r="42" spans="1:3" ht="15" customHeight="1">
      <c r="A42" s="297"/>
    </row>
  </sheetData>
  <mergeCells count="1">
    <mergeCell ref="E3:H3"/>
  </mergeCells>
  <hyperlinks>
    <hyperlink ref="B8" location="'M1-Energia'!A1" display="M1-Energia"/>
    <hyperlink ref="B9" location="'M1-Sõidukid'!A1" display="M1-Sõidukid"/>
    <hyperlink ref="B10" location="'M1-Hajusheitmed'!A1" display="M1 - Hajusheitmed"/>
    <hyperlink ref="B14" location="'M2-Ostetud soojusenergia'!A1" display="M2-Ostetud soojusenergia"/>
    <hyperlink ref="B17" location="'M3-Transport'!A1" display="M3-Transport"/>
    <hyperlink ref="B18" location="'M3-Tööreisid'!A1" display="M3-Tööreisid"/>
    <hyperlink ref="B20" location="'M3-Jäätmed'!A1" display="M3 - Jäätmed"/>
    <hyperlink ref="B21" location="'M3-Ostetud tooted'!A1" display="M3-Ostetud tooted"/>
    <hyperlink ref="B23" location="'M3-Finantsinvesteeringud'!A1" display="M3-Finantsinvesteeringud"/>
    <hyperlink ref="B3" location="Sissejuhatus!A1" display="Sissejuhatus"/>
    <hyperlink ref="B27" location="Tulemused!A1" display="Tulemused"/>
    <hyperlink ref="B5" location="Organisatsioon!A1" display="Organisatsioon"/>
    <hyperlink ref="B4" location="Sisukord!A1" display="Sisukord"/>
    <hyperlink ref="B30" location="'HT-energia (M1, M2)'!A1" display="HT-energia (M1, M2)"/>
    <hyperlink ref="B31" location="'HT-hajusheitmed (M1)'!A1" display="HT-hajusheitmed (M1)"/>
    <hyperlink ref="B32" location="'HT-sõidukikütused (M1)'!A1" display="HT-sõidukikütused (M1)"/>
    <hyperlink ref="B33" location="'HT-transport (M3)'!A1" display="HT-transport (M3)"/>
    <hyperlink ref="B34" location="'HT-tööreisid (M3)'!A1" display="HT-tööreisid (M3)"/>
    <hyperlink ref="B35" location="'M3-Tööle-koju'!A1" display="HT-Tööle-koju (M3)"/>
    <hyperlink ref="B36" location="'HT-jäätmed (M3)'!A1" display="HT-jäätmed (M3)"/>
    <hyperlink ref="A2" location="Sisukord!A1" display="Sisukord"/>
    <hyperlink ref="B19" location="'M3-Tööle-koju'!A1" display="M3-Tööle-koju"/>
    <hyperlink ref="B40" location="Viited!A1" display="Viited"/>
    <hyperlink ref="B13" location="'M2-Ostetud elektrienergia'!A1" display="M2-Ostetud elektrienergia"/>
    <hyperlink ref="B22" location="'M3-Müüdud tooted'!A1" display="M3-Müüdud tooted"/>
    <hyperlink ref="B38" location="'AR väärtused'!A1" display="AR väärtused"/>
    <hyperlink ref="B39" location="Eriheited!A1" display="Eriheited"/>
    <hyperlink ref="B24" location="'M3-Kütused'!A1" display="M3-Kütuste tootmine"/>
  </hyperlinks>
  <pageMargins left="0.7" right="0.7" top="0.75" bottom="0.75" header="0.3" footer="0.3"/>
  <pageSetup paperSize="9" orientation="portrait" r:id="rId1"/>
  <headerFooter>
    <oddHeader>&amp;C&amp;100&amp;K00+000
TEST-VERSIOON</oddHead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F116"/>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N15" sqref="N15"/>
    </sheetView>
  </sheetViews>
  <sheetFormatPr defaultColWidth="9.453125" defaultRowHeight="15"/>
  <cols>
    <col min="1" max="1" width="7.1796875" style="302" customWidth="1"/>
    <col min="2" max="2" width="43.54296875" style="297" customWidth="1"/>
    <col min="3" max="3" width="23.54296875" style="297" customWidth="1"/>
    <col min="4" max="4" width="17.7265625" style="297" customWidth="1"/>
    <col min="5" max="5" width="14" style="297" customWidth="1"/>
    <col min="6" max="16384" width="9.453125" style="297"/>
  </cols>
  <sheetData>
    <row r="1" spans="1:6" ht="21" customHeight="1">
      <c r="B1" s="291" t="s">
        <v>181</v>
      </c>
    </row>
    <row r="2" spans="1:6" ht="14">
      <c r="A2" s="295" t="s">
        <v>1</v>
      </c>
    </row>
    <row r="3" spans="1:6" s="482" customFormat="1" ht="45" customHeight="1">
      <c r="B3" s="406" t="s">
        <v>182</v>
      </c>
      <c r="C3" s="405" t="s">
        <v>1841</v>
      </c>
      <c r="D3" s="405" t="s">
        <v>1713</v>
      </c>
      <c r="E3" s="406" t="s">
        <v>142</v>
      </c>
    </row>
    <row r="4" spans="1:6" ht="15" customHeight="1">
      <c r="B4" s="332" t="s">
        <v>197</v>
      </c>
      <c r="C4" s="332" t="s">
        <v>2027</v>
      </c>
      <c r="D4" s="391">
        <v>350</v>
      </c>
      <c r="E4" s="323" t="s">
        <v>2180</v>
      </c>
    </row>
    <row r="5" spans="1:6" ht="15" customHeight="1">
      <c r="B5" s="323" t="s">
        <v>198</v>
      </c>
      <c r="C5" s="323" t="s">
        <v>2028</v>
      </c>
      <c r="D5" s="391">
        <v>3500</v>
      </c>
      <c r="E5" s="323" t="s">
        <v>2180</v>
      </c>
    </row>
    <row r="6" spans="1:6" ht="15" customHeight="1">
      <c r="A6" s="297"/>
      <c r="B6" s="323" t="s">
        <v>199</v>
      </c>
      <c r="C6" s="323" t="s">
        <v>2029</v>
      </c>
      <c r="D6" s="391">
        <v>1100</v>
      </c>
      <c r="E6" s="323" t="s">
        <v>2180</v>
      </c>
    </row>
    <row r="7" spans="1:6" ht="15" customHeight="1">
      <c r="B7" s="323" t="s">
        <v>200</v>
      </c>
      <c r="C7" s="323" t="s">
        <v>2030</v>
      </c>
      <c r="D7" s="391">
        <v>1430</v>
      </c>
      <c r="E7" s="323" t="s">
        <v>2180</v>
      </c>
    </row>
    <row r="8" spans="1:6" ht="15" customHeight="1">
      <c r="B8" s="323" t="s">
        <v>201</v>
      </c>
      <c r="C8" s="323" t="s">
        <v>2031</v>
      </c>
      <c r="D8" s="391">
        <v>353</v>
      </c>
      <c r="E8" s="323" t="s">
        <v>2180</v>
      </c>
    </row>
    <row r="9" spans="1:6" ht="15" customHeight="1">
      <c r="B9" s="323" t="s">
        <v>202</v>
      </c>
      <c r="C9" s="323" t="s">
        <v>2031</v>
      </c>
      <c r="D9" s="391">
        <v>4470</v>
      </c>
      <c r="E9" s="323" t="s">
        <v>2180</v>
      </c>
    </row>
    <row r="10" spans="1:6" ht="15" customHeight="1">
      <c r="B10" s="323" t="s">
        <v>203</v>
      </c>
      <c r="C10" s="323" t="s">
        <v>2032</v>
      </c>
      <c r="D10" s="391">
        <v>53</v>
      </c>
      <c r="E10" s="323" t="s">
        <v>2180</v>
      </c>
    </row>
    <row r="11" spans="1:6" ht="15" customHeight="1">
      <c r="B11" s="323" t="s">
        <v>204</v>
      </c>
      <c r="C11" s="323" t="s">
        <v>2032</v>
      </c>
      <c r="D11" s="391">
        <v>124</v>
      </c>
      <c r="E11" s="323" t="s">
        <v>2180</v>
      </c>
      <c r="F11" s="483"/>
    </row>
    <row r="12" spans="1:6" ht="15" customHeight="1">
      <c r="B12" s="323" t="s">
        <v>205</v>
      </c>
      <c r="C12" s="323" t="s">
        <v>2033</v>
      </c>
      <c r="D12" s="391">
        <v>12</v>
      </c>
      <c r="E12" s="323" t="s">
        <v>2180</v>
      </c>
      <c r="F12" s="483"/>
    </row>
    <row r="13" spans="1:6" ht="15" customHeight="1">
      <c r="B13" s="323" t="s">
        <v>206</v>
      </c>
      <c r="C13" s="323" t="s">
        <v>2034</v>
      </c>
      <c r="D13" s="391">
        <v>3220</v>
      </c>
      <c r="E13" s="323" t="s">
        <v>2180</v>
      </c>
      <c r="F13" s="483"/>
    </row>
    <row r="14" spans="1:6" ht="15" customHeight="1">
      <c r="B14" s="323" t="s">
        <v>207</v>
      </c>
      <c r="C14" s="323" t="s">
        <v>2035</v>
      </c>
      <c r="D14" s="391">
        <v>14800</v>
      </c>
      <c r="E14" s="323" t="s">
        <v>2180</v>
      </c>
      <c r="F14" s="483"/>
    </row>
    <row r="15" spans="1:6" ht="15" customHeight="1">
      <c r="B15" s="323" t="s">
        <v>208</v>
      </c>
      <c r="C15" s="323" t="s">
        <v>2036</v>
      </c>
      <c r="D15" s="391">
        <v>1340</v>
      </c>
      <c r="E15" s="323" t="s">
        <v>2180</v>
      </c>
      <c r="F15" s="483"/>
    </row>
    <row r="16" spans="1:6" ht="15" customHeight="1">
      <c r="B16" s="323" t="s">
        <v>209</v>
      </c>
      <c r="C16" s="323" t="s">
        <v>2036</v>
      </c>
      <c r="D16" s="391">
        <v>1370</v>
      </c>
      <c r="E16" s="323" t="s">
        <v>2180</v>
      </c>
      <c r="F16" s="483"/>
    </row>
    <row r="17" spans="1:6" ht="15" customHeight="1">
      <c r="B17" s="323" t="s">
        <v>210</v>
      </c>
      <c r="C17" s="323" t="s">
        <v>2036</v>
      </c>
      <c r="D17" s="391">
        <v>9810</v>
      </c>
      <c r="E17" s="323" t="s">
        <v>2180</v>
      </c>
      <c r="F17" s="483"/>
    </row>
    <row r="18" spans="1:6" ht="15" customHeight="1">
      <c r="A18" s="297"/>
      <c r="B18" s="323" t="s">
        <v>211</v>
      </c>
      <c r="C18" s="323" t="s">
        <v>2037</v>
      </c>
      <c r="D18" s="391">
        <v>693</v>
      </c>
      <c r="E18" s="323" t="s">
        <v>2180</v>
      </c>
      <c r="F18" s="483"/>
    </row>
    <row r="19" spans="1:6" ht="15" customHeight="1">
      <c r="A19" s="297"/>
      <c r="B19" s="323" t="s">
        <v>212</v>
      </c>
      <c r="C19" s="323" t="s">
        <v>2037</v>
      </c>
      <c r="D19" s="391">
        <v>1030</v>
      </c>
      <c r="E19" s="323" t="s">
        <v>2180</v>
      </c>
      <c r="F19" s="483"/>
    </row>
    <row r="20" spans="1:6" ht="15" customHeight="1">
      <c r="A20" s="297"/>
      <c r="B20" s="323" t="s">
        <v>213</v>
      </c>
      <c r="C20" s="323" t="s">
        <v>2038</v>
      </c>
      <c r="D20" s="391">
        <v>675</v>
      </c>
      <c r="E20" s="323" t="s">
        <v>2180</v>
      </c>
      <c r="F20" s="483"/>
    </row>
    <row r="21" spans="1:6" ht="15" customHeight="1">
      <c r="A21" s="297"/>
      <c r="B21" s="323" t="s">
        <v>214</v>
      </c>
      <c r="C21" s="323" t="s">
        <v>2039</v>
      </c>
      <c r="D21" s="391">
        <v>794</v>
      </c>
      <c r="E21" s="323" t="s">
        <v>2180</v>
      </c>
      <c r="F21" s="483"/>
    </row>
    <row r="22" spans="1:6" ht="15" customHeight="1">
      <c r="B22" s="323" t="s">
        <v>215</v>
      </c>
      <c r="C22" s="323" t="s">
        <v>2040</v>
      </c>
      <c r="D22" s="391">
        <v>92</v>
      </c>
      <c r="E22" s="323" t="s">
        <v>2180</v>
      </c>
      <c r="F22" s="483"/>
    </row>
    <row r="23" spans="1:6" ht="15" customHeight="1">
      <c r="B23" s="323" t="s">
        <v>216</v>
      </c>
      <c r="C23" s="323" t="s">
        <v>2041</v>
      </c>
      <c r="D23" s="391">
        <v>1640</v>
      </c>
      <c r="E23" s="323" t="s">
        <v>2180</v>
      </c>
      <c r="F23" s="483"/>
    </row>
    <row r="24" spans="1:6" ht="15" customHeight="1">
      <c r="B24" s="332" t="s">
        <v>217</v>
      </c>
      <c r="C24" s="332" t="s">
        <v>2042</v>
      </c>
      <c r="D24" s="391">
        <v>14900</v>
      </c>
      <c r="E24" s="323" t="s">
        <v>2180</v>
      </c>
      <c r="F24" s="483"/>
    </row>
    <row r="25" spans="1:6" ht="15" customHeight="1">
      <c r="B25" s="332" t="s">
        <v>218</v>
      </c>
      <c r="C25" s="332" t="s">
        <v>2043</v>
      </c>
      <c r="D25" s="391">
        <v>6320</v>
      </c>
      <c r="E25" s="323" t="s">
        <v>2180</v>
      </c>
      <c r="F25" s="483"/>
    </row>
    <row r="26" spans="1:6" ht="15" customHeight="1">
      <c r="B26" s="332" t="s">
        <v>219</v>
      </c>
      <c r="C26" s="332" t="s">
        <v>2044</v>
      </c>
      <c r="D26" s="391">
        <v>756</v>
      </c>
      <c r="E26" s="323" t="s">
        <v>2180</v>
      </c>
      <c r="F26" s="483"/>
    </row>
    <row r="27" spans="1:6" ht="15" customHeight="1">
      <c r="B27" s="332" t="s">
        <v>220</v>
      </c>
      <c r="C27" s="332" t="s">
        <v>2045</v>
      </c>
      <c r="D27" s="391">
        <v>2800</v>
      </c>
      <c r="E27" s="323" t="s">
        <v>2180</v>
      </c>
      <c r="F27" s="483"/>
    </row>
    <row r="28" spans="1:6" ht="15" customHeight="1">
      <c r="B28" s="332" t="s">
        <v>221</v>
      </c>
      <c r="C28" s="332" t="s">
        <v>2046</v>
      </c>
      <c r="D28" s="391">
        <v>708</v>
      </c>
      <c r="E28" s="323" t="s">
        <v>2180</v>
      </c>
      <c r="F28" s="483"/>
    </row>
    <row r="29" spans="1:6" ht="15" customHeight="1">
      <c r="B29" s="332" t="s">
        <v>222</v>
      </c>
      <c r="C29" s="332" t="s">
        <v>2047</v>
      </c>
      <c r="D29" s="391">
        <v>659</v>
      </c>
      <c r="E29" s="323" t="s">
        <v>2180</v>
      </c>
      <c r="F29" s="483"/>
    </row>
    <row r="30" spans="1:6" ht="15" customHeight="1">
      <c r="B30" s="332" t="s">
        <v>223</v>
      </c>
      <c r="C30" s="332" t="s">
        <v>2048</v>
      </c>
      <c r="D30" s="391">
        <v>359</v>
      </c>
      <c r="E30" s="323" t="s">
        <v>2180</v>
      </c>
      <c r="F30" s="483"/>
    </row>
    <row r="31" spans="1:6" ht="15" customHeight="1">
      <c r="B31" s="332" t="s">
        <v>224</v>
      </c>
      <c r="C31" s="332" t="s">
        <v>2049</v>
      </c>
      <c r="D31" s="391">
        <v>1500</v>
      </c>
      <c r="E31" s="323" t="s">
        <v>2180</v>
      </c>
      <c r="F31" s="483"/>
    </row>
    <row r="32" spans="1:6" ht="15" customHeight="1">
      <c r="B32" s="332" t="s">
        <v>225</v>
      </c>
      <c r="C32" s="332" t="s">
        <v>2050</v>
      </c>
      <c r="D32" s="391">
        <v>575</v>
      </c>
      <c r="E32" s="323" t="s">
        <v>2180</v>
      </c>
      <c r="F32" s="483"/>
    </row>
    <row r="33" spans="1:6" ht="15" customHeight="1">
      <c r="B33" s="332" t="s">
        <v>226</v>
      </c>
      <c r="C33" s="332" t="s">
        <v>2051</v>
      </c>
      <c r="D33" s="391">
        <v>363</v>
      </c>
      <c r="E33" s="323" t="s">
        <v>183</v>
      </c>
      <c r="F33" s="483"/>
    </row>
    <row r="34" spans="1:6" ht="15" customHeight="1">
      <c r="B34" s="332" t="s">
        <v>227</v>
      </c>
      <c r="C34" s="332" t="s">
        <v>2052</v>
      </c>
      <c r="D34" s="391">
        <v>580</v>
      </c>
      <c r="E34" s="323" t="s">
        <v>2180</v>
      </c>
      <c r="F34" s="483"/>
    </row>
    <row r="35" spans="1:6" ht="15" customHeight="1">
      <c r="B35" s="332" t="s">
        <v>228</v>
      </c>
      <c r="C35" s="332" t="s">
        <v>2053</v>
      </c>
      <c r="D35" s="391">
        <v>110</v>
      </c>
      <c r="E35" s="323" t="s">
        <v>2180</v>
      </c>
      <c r="F35" s="483"/>
    </row>
    <row r="36" spans="1:6" ht="15" customHeight="1">
      <c r="B36" s="332" t="s">
        <v>229</v>
      </c>
      <c r="C36" s="332" t="s">
        <v>2054</v>
      </c>
      <c r="D36" s="391">
        <v>446</v>
      </c>
      <c r="E36" s="323" t="s">
        <v>183</v>
      </c>
      <c r="F36" s="483"/>
    </row>
    <row r="37" spans="1:6" ht="15" customHeight="1">
      <c r="B37" s="332" t="s">
        <v>230</v>
      </c>
      <c r="C37" s="332" t="s">
        <v>2055</v>
      </c>
      <c r="D37" s="391">
        <v>627</v>
      </c>
      <c r="E37" s="323" t="s">
        <v>183</v>
      </c>
      <c r="F37" s="483"/>
    </row>
    <row r="38" spans="1:6" ht="15" customHeight="1">
      <c r="A38" s="297"/>
      <c r="B38" s="332" t="s">
        <v>231</v>
      </c>
      <c r="C38" s="332" t="s">
        <v>2056</v>
      </c>
      <c r="D38" s="391">
        <v>1870</v>
      </c>
      <c r="E38" s="323" t="s">
        <v>2180</v>
      </c>
      <c r="F38" s="483"/>
    </row>
    <row r="39" spans="1:6" ht="15" customHeight="1">
      <c r="B39" s="332" t="s">
        <v>232</v>
      </c>
      <c r="C39" s="332" t="s">
        <v>2057</v>
      </c>
      <c r="D39" s="391">
        <v>297</v>
      </c>
      <c r="E39" s="323" t="s">
        <v>2180</v>
      </c>
      <c r="F39" s="483"/>
    </row>
    <row r="40" spans="1:6" ht="15" customHeight="1">
      <c r="B40" s="332" t="s">
        <v>233</v>
      </c>
      <c r="C40" s="332" t="s">
        <v>2058</v>
      </c>
      <c r="D40" s="391">
        <v>59</v>
      </c>
      <c r="E40" s="323" t="s">
        <v>2180</v>
      </c>
      <c r="F40" s="483"/>
    </row>
    <row r="41" spans="1:6" ht="15" customHeight="1">
      <c r="B41" s="323" t="s">
        <v>234</v>
      </c>
      <c r="C41" s="323" t="s">
        <v>2059</v>
      </c>
      <c r="D41" s="391">
        <v>17200</v>
      </c>
      <c r="E41" s="323" t="s">
        <v>2180</v>
      </c>
      <c r="F41" s="483"/>
    </row>
    <row r="42" spans="1:6" ht="15" customHeight="1">
      <c r="B42" s="323" t="s">
        <v>1832</v>
      </c>
      <c r="C42" s="323" t="s">
        <v>2060</v>
      </c>
      <c r="D42" s="391">
        <v>12200</v>
      </c>
      <c r="E42" s="323" t="s">
        <v>2180</v>
      </c>
      <c r="F42" s="483"/>
    </row>
    <row r="43" spans="1:6" ht="15" customHeight="1">
      <c r="B43" s="323" t="s">
        <v>1833</v>
      </c>
      <c r="C43" s="323" t="s">
        <v>2061</v>
      </c>
      <c r="D43" s="391">
        <v>7390</v>
      </c>
      <c r="E43" s="323" t="s">
        <v>2180</v>
      </c>
      <c r="F43" s="483"/>
    </row>
    <row r="44" spans="1:6" ht="15" customHeight="1">
      <c r="B44" s="323" t="s">
        <v>1834</v>
      </c>
      <c r="C44" s="323" t="s">
        <v>2062</v>
      </c>
      <c r="D44" s="391">
        <v>8830</v>
      </c>
      <c r="E44" s="323" t="s">
        <v>2180</v>
      </c>
      <c r="F44" s="483"/>
    </row>
    <row r="45" spans="1:6" ht="15" customHeight="1">
      <c r="B45" s="323" t="s">
        <v>1835</v>
      </c>
      <c r="C45" s="323" t="s">
        <v>2063</v>
      </c>
      <c r="D45" s="391">
        <v>8860</v>
      </c>
      <c r="E45" s="323" t="s">
        <v>2180</v>
      </c>
      <c r="F45" s="483"/>
    </row>
    <row r="46" spans="1:6" ht="15" customHeight="1">
      <c r="B46" s="323" t="s">
        <v>1836</v>
      </c>
      <c r="C46" s="323" t="s">
        <v>2064</v>
      </c>
      <c r="D46" s="391">
        <v>10300</v>
      </c>
      <c r="E46" s="323" t="s">
        <v>2180</v>
      </c>
      <c r="F46" s="483"/>
    </row>
    <row r="47" spans="1:6" ht="15" customHeight="1">
      <c r="B47" s="323" t="s">
        <v>1837</v>
      </c>
      <c r="C47" s="323" t="s">
        <v>2065</v>
      </c>
      <c r="D47" s="391">
        <v>9160</v>
      </c>
      <c r="E47" s="323" t="s">
        <v>2180</v>
      </c>
      <c r="F47" s="483"/>
    </row>
    <row r="48" spans="1:6" ht="15" customHeight="1">
      <c r="B48" s="323" t="s">
        <v>1838</v>
      </c>
      <c r="C48" s="323" t="s">
        <v>2066</v>
      </c>
      <c r="D48" s="391">
        <v>9300</v>
      </c>
      <c r="E48" s="323" t="s">
        <v>2180</v>
      </c>
      <c r="F48" s="483"/>
    </row>
    <row r="49" spans="2:6" ht="15" customHeight="1">
      <c r="B49" s="323" t="s">
        <v>1840</v>
      </c>
      <c r="C49" s="323" t="s">
        <v>2067</v>
      </c>
      <c r="D49" s="391">
        <v>7190</v>
      </c>
      <c r="E49" s="323" t="s">
        <v>183</v>
      </c>
      <c r="F49" s="483"/>
    </row>
    <row r="50" spans="2:6" ht="15" customHeight="1">
      <c r="B50" s="332" t="s">
        <v>1839</v>
      </c>
      <c r="C50" s="332" t="s">
        <v>2068</v>
      </c>
      <c r="D50" s="391">
        <v>10300</v>
      </c>
      <c r="E50" s="323" t="s">
        <v>2180</v>
      </c>
      <c r="F50" s="483"/>
    </row>
    <row r="51" spans="2:6" ht="15" customHeight="1">
      <c r="B51" s="323" t="s">
        <v>246</v>
      </c>
      <c r="C51" s="323" t="s">
        <v>247</v>
      </c>
      <c r="D51" s="391">
        <v>16.12</v>
      </c>
      <c r="E51" s="323" t="s">
        <v>2180</v>
      </c>
      <c r="F51" s="483"/>
    </row>
    <row r="52" spans="2:6" ht="15" customHeight="1">
      <c r="B52" s="323" t="s">
        <v>248</v>
      </c>
      <c r="C52" s="323" t="s">
        <v>247</v>
      </c>
      <c r="D52" s="391">
        <v>14</v>
      </c>
      <c r="E52" s="323" t="s">
        <v>2180</v>
      </c>
      <c r="F52" s="483"/>
    </row>
    <row r="53" spans="2:6" ht="15" customHeight="1">
      <c r="B53" s="323" t="s">
        <v>249</v>
      </c>
      <c r="C53" s="323" t="s">
        <v>247</v>
      </c>
      <c r="D53" s="391">
        <v>18.600000000000001</v>
      </c>
      <c r="E53" s="323" t="s">
        <v>2180</v>
      </c>
      <c r="F53" s="483"/>
    </row>
    <row r="54" spans="2:6" ht="15" customHeight="1">
      <c r="B54" s="323" t="s">
        <v>250</v>
      </c>
      <c r="C54" s="323" t="s">
        <v>247</v>
      </c>
      <c r="D54" s="391">
        <v>2100</v>
      </c>
      <c r="E54" s="323" t="s">
        <v>2180</v>
      </c>
      <c r="F54" s="483"/>
    </row>
    <row r="55" spans="2:6" ht="15" customHeight="1">
      <c r="B55" s="323" t="s">
        <v>251</v>
      </c>
      <c r="C55" s="323" t="s">
        <v>247</v>
      </c>
      <c r="D55" s="391">
        <v>1330</v>
      </c>
      <c r="E55" s="323" t="s">
        <v>2180</v>
      </c>
      <c r="F55" s="483"/>
    </row>
    <row r="56" spans="2:6" ht="15" customHeight="1">
      <c r="B56" s="323" t="s">
        <v>252</v>
      </c>
      <c r="C56" s="323" t="s">
        <v>253</v>
      </c>
      <c r="D56" s="391">
        <v>1766</v>
      </c>
      <c r="E56" s="323" t="s">
        <v>2180</v>
      </c>
      <c r="F56" s="483"/>
    </row>
    <row r="57" spans="2:6" ht="15" customHeight="1">
      <c r="B57" s="323" t="s">
        <v>254</v>
      </c>
      <c r="C57" s="323" t="s">
        <v>253</v>
      </c>
      <c r="D57" s="391">
        <v>3444</v>
      </c>
      <c r="E57" s="323" t="s">
        <v>2180</v>
      </c>
      <c r="F57" s="483"/>
    </row>
    <row r="58" spans="2:6" ht="15" customHeight="1">
      <c r="B58" s="323" t="s">
        <v>255</v>
      </c>
      <c r="C58" s="323" t="s">
        <v>247</v>
      </c>
      <c r="D58" s="391">
        <v>3922</v>
      </c>
      <c r="E58" s="323" t="s">
        <v>2180</v>
      </c>
      <c r="F58" s="483"/>
    </row>
    <row r="59" spans="2:6" ht="15" customHeight="1">
      <c r="B59" s="323" t="s">
        <v>256</v>
      </c>
      <c r="C59" s="323" t="s">
        <v>247</v>
      </c>
      <c r="D59" s="391">
        <v>2107</v>
      </c>
      <c r="E59" s="323" t="s">
        <v>2180</v>
      </c>
      <c r="F59" s="483"/>
    </row>
    <row r="60" spans="2:6" ht="15" customHeight="1">
      <c r="B60" s="323" t="s">
        <v>257</v>
      </c>
      <c r="C60" s="323" t="s">
        <v>247</v>
      </c>
      <c r="D60" s="391">
        <v>2804</v>
      </c>
      <c r="E60" s="323" t="s">
        <v>2180</v>
      </c>
      <c r="F60" s="483"/>
    </row>
    <row r="61" spans="2:6" ht="15" customHeight="1">
      <c r="B61" s="323" t="s">
        <v>258</v>
      </c>
      <c r="C61" s="323" t="s">
        <v>247</v>
      </c>
      <c r="D61" s="391">
        <v>1774</v>
      </c>
      <c r="E61" s="323" t="s">
        <v>2180</v>
      </c>
      <c r="F61" s="483"/>
    </row>
    <row r="62" spans="2:6" ht="15" customHeight="1">
      <c r="B62" s="323" t="s">
        <v>259</v>
      </c>
      <c r="C62" s="323" t="s">
        <v>247</v>
      </c>
      <c r="D62" s="391">
        <v>1627</v>
      </c>
      <c r="E62" s="323" t="s">
        <v>2180</v>
      </c>
      <c r="F62" s="483"/>
    </row>
    <row r="63" spans="2:6" ht="15" customHeight="1">
      <c r="B63" s="323" t="s">
        <v>260</v>
      </c>
      <c r="C63" s="323" t="s">
        <v>247</v>
      </c>
      <c r="D63" s="391">
        <v>1552</v>
      </c>
      <c r="E63" s="323" t="s">
        <v>2180</v>
      </c>
      <c r="F63" s="483"/>
    </row>
    <row r="64" spans="2:6" ht="15" customHeight="1">
      <c r="B64" s="323" t="s">
        <v>261</v>
      </c>
      <c r="C64" s="323" t="s">
        <v>247</v>
      </c>
      <c r="D64" s="391">
        <v>1825</v>
      </c>
      <c r="E64" s="323" t="s">
        <v>2180</v>
      </c>
      <c r="F64" s="483"/>
    </row>
    <row r="65" spans="2:6" ht="15" customHeight="1">
      <c r="B65" s="323" t="s">
        <v>262</v>
      </c>
      <c r="C65" s="323" t="s">
        <v>247</v>
      </c>
      <c r="D65" s="391">
        <v>2301</v>
      </c>
      <c r="E65" s="323" t="s">
        <v>2180</v>
      </c>
      <c r="F65" s="483"/>
    </row>
    <row r="66" spans="2:6" ht="15" customHeight="1">
      <c r="B66" s="323" t="s">
        <v>263</v>
      </c>
      <c r="C66" s="323" t="s">
        <v>247</v>
      </c>
      <c r="D66" s="391">
        <v>2088</v>
      </c>
      <c r="E66" s="323" t="s">
        <v>2180</v>
      </c>
      <c r="F66" s="483"/>
    </row>
    <row r="67" spans="2:6" ht="15" customHeight="1">
      <c r="B67" s="323" t="s">
        <v>264</v>
      </c>
      <c r="C67" s="323" t="s">
        <v>247</v>
      </c>
      <c r="D67" s="391">
        <v>2229</v>
      </c>
      <c r="E67" s="323" t="s">
        <v>2180</v>
      </c>
      <c r="F67" s="483"/>
    </row>
    <row r="68" spans="2:6" ht="15" customHeight="1">
      <c r="B68" s="323" t="s">
        <v>265</v>
      </c>
      <c r="C68" s="323" t="s">
        <v>247</v>
      </c>
      <c r="D68" s="391">
        <v>14</v>
      </c>
      <c r="E68" s="323" t="s">
        <v>2180</v>
      </c>
      <c r="F68" s="483"/>
    </row>
    <row r="69" spans="2:6" ht="15" customHeight="1">
      <c r="B69" s="323" t="s">
        <v>266</v>
      </c>
      <c r="C69" s="323" t="s">
        <v>247</v>
      </c>
      <c r="D69" s="391">
        <v>3.72</v>
      </c>
      <c r="E69" s="323" t="s">
        <v>2180</v>
      </c>
      <c r="F69" s="483"/>
    </row>
    <row r="70" spans="2:6" ht="15" customHeight="1">
      <c r="B70" s="323" t="s">
        <v>267</v>
      </c>
      <c r="C70" s="323" t="s">
        <v>253</v>
      </c>
      <c r="D70" s="391">
        <v>442</v>
      </c>
      <c r="E70" s="323" t="s">
        <v>2180</v>
      </c>
      <c r="F70" s="483"/>
    </row>
    <row r="71" spans="2:6" ht="15" customHeight="1">
      <c r="B71" s="323" t="s">
        <v>268</v>
      </c>
      <c r="C71" s="323" t="s">
        <v>247</v>
      </c>
      <c r="D71" s="391">
        <v>22.32</v>
      </c>
      <c r="E71" s="323" t="s">
        <v>2180</v>
      </c>
      <c r="F71" s="483"/>
    </row>
    <row r="72" spans="2:6" ht="15" customHeight="1">
      <c r="B72" s="323" t="s">
        <v>269</v>
      </c>
      <c r="C72" s="323" t="s">
        <v>247</v>
      </c>
      <c r="D72" s="391">
        <v>93</v>
      </c>
      <c r="E72" s="323" t="s">
        <v>2180</v>
      </c>
      <c r="F72" s="483"/>
    </row>
    <row r="73" spans="2:6" ht="15" customHeight="1">
      <c r="B73" s="323" t="s">
        <v>270</v>
      </c>
      <c r="C73" s="323" t="s">
        <v>247</v>
      </c>
      <c r="D73" s="391">
        <v>843.7</v>
      </c>
      <c r="E73" s="323" t="s">
        <v>2180</v>
      </c>
      <c r="F73" s="483"/>
    </row>
    <row r="74" spans="2:6" ht="15" customHeight="1">
      <c r="B74" s="323" t="s">
        <v>271</v>
      </c>
      <c r="C74" s="323" t="s">
        <v>247</v>
      </c>
      <c r="D74" s="391">
        <v>2346</v>
      </c>
      <c r="E74" s="323" t="s">
        <v>2180</v>
      </c>
      <c r="F74" s="483"/>
    </row>
    <row r="75" spans="2:6" ht="15" customHeight="1">
      <c r="B75" s="323" t="s">
        <v>272</v>
      </c>
      <c r="C75" s="323" t="s">
        <v>247</v>
      </c>
      <c r="D75" s="391">
        <v>3027</v>
      </c>
      <c r="E75" s="323" t="s">
        <v>2180</v>
      </c>
      <c r="F75" s="483"/>
    </row>
    <row r="76" spans="2:6" ht="15" customHeight="1">
      <c r="B76" s="323" t="s">
        <v>273</v>
      </c>
      <c r="C76" s="323" t="s">
        <v>247</v>
      </c>
      <c r="D76" s="391">
        <v>1809</v>
      </c>
      <c r="E76" s="323" t="s">
        <v>2180</v>
      </c>
      <c r="F76" s="483"/>
    </row>
    <row r="77" spans="2:6" ht="15" customHeight="1">
      <c r="B77" s="323" t="s">
        <v>274</v>
      </c>
      <c r="C77" s="323" t="s">
        <v>247</v>
      </c>
      <c r="D77" s="391">
        <v>3.1</v>
      </c>
      <c r="E77" s="323" t="s">
        <v>2180</v>
      </c>
      <c r="F77" s="483"/>
    </row>
    <row r="78" spans="2:6" ht="15" customHeight="1">
      <c r="B78" s="323" t="s">
        <v>275</v>
      </c>
      <c r="C78" s="323" t="s">
        <v>247</v>
      </c>
      <c r="D78" s="391">
        <v>2967</v>
      </c>
      <c r="E78" s="323" t="s">
        <v>2180</v>
      </c>
      <c r="F78" s="483"/>
    </row>
    <row r="79" spans="2:6" ht="15" customHeight="1">
      <c r="B79" s="323" t="s">
        <v>276</v>
      </c>
      <c r="C79" s="323" t="s">
        <v>247</v>
      </c>
      <c r="D79" s="391">
        <v>2384</v>
      </c>
      <c r="E79" s="323" t="s">
        <v>2180</v>
      </c>
      <c r="F79" s="483"/>
    </row>
    <row r="80" spans="2:6" ht="15" customHeight="1">
      <c r="B80" s="323" t="s">
        <v>277</v>
      </c>
      <c r="C80" s="323" t="s">
        <v>247</v>
      </c>
      <c r="D80" s="391">
        <v>1258</v>
      </c>
      <c r="E80" s="323" t="s">
        <v>2180</v>
      </c>
      <c r="F80" s="483"/>
    </row>
    <row r="81" spans="2:6" ht="15" customHeight="1">
      <c r="B81" s="323" t="s">
        <v>278</v>
      </c>
      <c r="C81" s="323" t="s">
        <v>247</v>
      </c>
      <c r="D81" s="391">
        <v>2631</v>
      </c>
      <c r="E81" s="323" t="s">
        <v>2180</v>
      </c>
      <c r="F81" s="483"/>
    </row>
    <row r="82" spans="2:6" ht="15" customHeight="1">
      <c r="B82" s="323" t="s">
        <v>279</v>
      </c>
      <c r="C82" s="323" t="s">
        <v>247</v>
      </c>
      <c r="D82" s="391">
        <v>3190</v>
      </c>
      <c r="E82" s="323" t="s">
        <v>2180</v>
      </c>
      <c r="F82" s="483"/>
    </row>
    <row r="83" spans="2:6" ht="15" customHeight="1">
      <c r="B83" s="323" t="s">
        <v>280</v>
      </c>
      <c r="C83" s="323" t="s">
        <v>247</v>
      </c>
      <c r="D83" s="391">
        <v>3143</v>
      </c>
      <c r="E83" s="323" t="s">
        <v>2180</v>
      </c>
      <c r="F83" s="483"/>
    </row>
    <row r="84" spans="2:6" ht="15" customHeight="1">
      <c r="B84" s="323" t="s">
        <v>281</v>
      </c>
      <c r="C84" s="323" t="s">
        <v>247</v>
      </c>
      <c r="D84" s="391">
        <v>2526</v>
      </c>
      <c r="E84" s="323" t="s">
        <v>2180</v>
      </c>
      <c r="F84" s="483"/>
    </row>
    <row r="85" spans="2:6" ht="15" customHeight="1">
      <c r="B85" s="323" t="s">
        <v>282</v>
      </c>
      <c r="C85" s="323" t="s">
        <v>247</v>
      </c>
      <c r="D85" s="391">
        <v>3085</v>
      </c>
      <c r="E85" s="323" t="s">
        <v>2180</v>
      </c>
      <c r="F85" s="483"/>
    </row>
    <row r="86" spans="2:6" ht="15" customHeight="1">
      <c r="B86" s="323" t="s">
        <v>283</v>
      </c>
      <c r="C86" s="323" t="s">
        <v>247</v>
      </c>
      <c r="D86" s="391">
        <v>2729</v>
      </c>
      <c r="E86" s="323" t="s">
        <v>2180</v>
      </c>
      <c r="F86" s="483"/>
    </row>
    <row r="87" spans="2:6" ht="15" customHeight="1">
      <c r="B87" s="323" t="s">
        <v>284</v>
      </c>
      <c r="C87" s="323" t="s">
        <v>247</v>
      </c>
      <c r="D87" s="391">
        <v>2592</v>
      </c>
      <c r="E87" s="323" t="s">
        <v>2180</v>
      </c>
      <c r="F87" s="483"/>
    </row>
    <row r="88" spans="2:6" ht="15" customHeight="1">
      <c r="B88" s="323" t="s">
        <v>285</v>
      </c>
      <c r="C88" s="323" t="s">
        <v>247</v>
      </c>
      <c r="D88" s="391">
        <v>2280</v>
      </c>
      <c r="E88" s="323" t="s">
        <v>2180</v>
      </c>
      <c r="F88" s="483"/>
    </row>
    <row r="89" spans="2:6" ht="15" customHeight="1">
      <c r="B89" s="323" t="s">
        <v>286</v>
      </c>
      <c r="C89" s="323" t="s">
        <v>247</v>
      </c>
      <c r="D89" s="391">
        <v>2440</v>
      </c>
      <c r="E89" s="323" t="s">
        <v>2180</v>
      </c>
      <c r="F89" s="483"/>
    </row>
    <row r="90" spans="2:6" ht="15" customHeight="1">
      <c r="B90" s="323" t="s">
        <v>287</v>
      </c>
      <c r="C90" s="323" t="s">
        <v>247</v>
      </c>
      <c r="D90" s="391">
        <v>1505</v>
      </c>
      <c r="E90" s="323" t="s">
        <v>2180</v>
      </c>
      <c r="F90" s="483"/>
    </row>
    <row r="91" spans="2:6" ht="15" customHeight="1">
      <c r="B91" s="323" t="s">
        <v>288</v>
      </c>
      <c r="C91" s="323" t="s">
        <v>247</v>
      </c>
      <c r="D91" s="391">
        <v>1508</v>
      </c>
      <c r="E91" s="323" t="s">
        <v>2180</v>
      </c>
      <c r="F91" s="483"/>
    </row>
    <row r="92" spans="2:6" ht="15" customHeight="1">
      <c r="B92" s="323" t="s">
        <v>289</v>
      </c>
      <c r="C92" s="323" t="s">
        <v>247</v>
      </c>
      <c r="D92" s="391">
        <v>2138</v>
      </c>
      <c r="E92" s="323" t="s">
        <v>2180</v>
      </c>
      <c r="F92" s="483"/>
    </row>
    <row r="93" spans="2:6" ht="15" customHeight="1">
      <c r="B93" s="323" t="s">
        <v>290</v>
      </c>
      <c r="C93" s="323" t="s">
        <v>247</v>
      </c>
      <c r="D93" s="391">
        <v>3607</v>
      </c>
      <c r="E93" s="323" t="s">
        <v>2180</v>
      </c>
      <c r="F93" s="483"/>
    </row>
    <row r="94" spans="2:6" ht="15" customHeight="1">
      <c r="B94" s="323" t="s">
        <v>291</v>
      </c>
      <c r="C94" s="323" t="s">
        <v>247</v>
      </c>
      <c r="D94" s="391">
        <v>12</v>
      </c>
      <c r="E94" s="323" t="s">
        <v>2180</v>
      </c>
      <c r="F94" s="483"/>
    </row>
    <row r="95" spans="2:6" ht="15" customHeight="1">
      <c r="B95" s="323" t="s">
        <v>292</v>
      </c>
      <c r="C95" s="323" t="s">
        <v>247</v>
      </c>
      <c r="D95" s="391">
        <v>94.24</v>
      </c>
      <c r="E95" s="323" t="s">
        <v>2180</v>
      </c>
      <c r="F95" s="483"/>
    </row>
    <row r="96" spans="2:6" ht="15" customHeight="1">
      <c r="B96" s="323" t="s">
        <v>293</v>
      </c>
      <c r="C96" s="323" t="s">
        <v>247</v>
      </c>
      <c r="D96" s="391">
        <v>36</v>
      </c>
      <c r="E96" s="323" t="s">
        <v>2180</v>
      </c>
      <c r="F96" s="483"/>
    </row>
    <row r="97" spans="2:6" ht="15" customHeight="1">
      <c r="B97" s="323" t="s">
        <v>294</v>
      </c>
      <c r="C97" s="323" t="s">
        <v>247</v>
      </c>
      <c r="D97" s="391">
        <v>3245</v>
      </c>
      <c r="E97" s="323" t="s">
        <v>2180</v>
      </c>
      <c r="F97" s="483"/>
    </row>
    <row r="98" spans="2:6" ht="15" customHeight="1">
      <c r="B98" s="323" t="s">
        <v>295</v>
      </c>
      <c r="C98" s="323" t="s">
        <v>247</v>
      </c>
      <c r="D98" s="391">
        <v>25</v>
      </c>
      <c r="E98" s="323" t="s">
        <v>2180</v>
      </c>
      <c r="F98" s="483"/>
    </row>
    <row r="99" spans="2:6" ht="15" customHeight="1">
      <c r="B99" s="323" t="s">
        <v>296</v>
      </c>
      <c r="C99" s="323" t="s">
        <v>247</v>
      </c>
      <c r="D99" s="391">
        <v>1805</v>
      </c>
      <c r="E99" s="323" t="s">
        <v>2180</v>
      </c>
      <c r="F99" s="483"/>
    </row>
    <row r="100" spans="2:6" ht="15" customHeight="1">
      <c r="B100" s="323" t="s">
        <v>297</v>
      </c>
      <c r="C100" s="323" t="s">
        <v>247</v>
      </c>
      <c r="D100" s="391">
        <v>2264</v>
      </c>
      <c r="E100" s="323" t="s">
        <v>2180</v>
      </c>
      <c r="F100" s="483"/>
    </row>
    <row r="101" spans="2:6" ht="15" customHeight="1">
      <c r="B101" s="323" t="s">
        <v>298</v>
      </c>
      <c r="C101" s="323" t="s">
        <v>247</v>
      </c>
      <c r="D101" s="391">
        <v>1983</v>
      </c>
      <c r="E101" s="323" t="s">
        <v>2180</v>
      </c>
      <c r="F101" s="483"/>
    </row>
    <row r="102" spans="2:6" ht="15" customHeight="1">
      <c r="B102" s="323" t="s">
        <v>298</v>
      </c>
      <c r="C102" s="323" t="s">
        <v>247</v>
      </c>
      <c r="D102" s="391">
        <v>1983</v>
      </c>
      <c r="E102" s="323" t="s">
        <v>2180</v>
      </c>
      <c r="F102" s="483"/>
    </row>
    <row r="103" spans="2:6" ht="15" customHeight="1">
      <c r="B103" s="323" t="s">
        <v>298</v>
      </c>
      <c r="C103" s="323" t="s">
        <v>247</v>
      </c>
      <c r="D103" s="391">
        <v>1983</v>
      </c>
      <c r="E103" s="323" t="s">
        <v>2180</v>
      </c>
      <c r="F103" s="483"/>
    </row>
    <row r="104" spans="2:6" ht="15" customHeight="1">
      <c r="B104" s="323" t="s">
        <v>299</v>
      </c>
      <c r="C104" s="323" t="s">
        <v>247</v>
      </c>
      <c r="D104" s="391">
        <v>87</v>
      </c>
      <c r="E104" s="323" t="s">
        <v>2180</v>
      </c>
      <c r="F104" s="483"/>
    </row>
    <row r="105" spans="2:6" ht="15" customHeight="1">
      <c r="B105" s="323" t="s">
        <v>300</v>
      </c>
      <c r="C105" s="323" t="s">
        <v>247</v>
      </c>
      <c r="D105" s="391">
        <v>128.69999999999999</v>
      </c>
      <c r="E105" s="323" t="s">
        <v>2180</v>
      </c>
      <c r="F105" s="483"/>
    </row>
    <row r="106" spans="2:6" ht="15" customHeight="1">
      <c r="B106" s="323" t="s">
        <v>301</v>
      </c>
      <c r="C106" s="323" t="s">
        <v>247</v>
      </c>
      <c r="D106" s="391">
        <v>32</v>
      </c>
      <c r="E106" s="323" t="s">
        <v>2180</v>
      </c>
      <c r="F106" s="483"/>
    </row>
    <row r="107" spans="2:6" ht="15" customHeight="1">
      <c r="B107" s="323" t="s">
        <v>302</v>
      </c>
      <c r="C107" s="323" t="s">
        <v>247</v>
      </c>
      <c r="D107" s="391">
        <v>5935</v>
      </c>
      <c r="E107" s="323" t="s">
        <v>2180</v>
      </c>
      <c r="F107" s="483"/>
    </row>
    <row r="108" spans="2:6" ht="15" customHeight="1">
      <c r="B108" s="323" t="s">
        <v>303</v>
      </c>
      <c r="C108" s="323" t="s">
        <v>247</v>
      </c>
      <c r="D108" s="391">
        <v>325</v>
      </c>
      <c r="E108" s="323" t="s">
        <v>2180</v>
      </c>
      <c r="F108" s="483"/>
    </row>
    <row r="109" spans="2:6" ht="15" customHeight="1">
      <c r="B109" s="323" t="s">
        <v>304</v>
      </c>
      <c r="C109" s="323" t="s">
        <v>247</v>
      </c>
      <c r="D109" s="391">
        <v>3985</v>
      </c>
      <c r="E109" s="323" t="s">
        <v>2180</v>
      </c>
      <c r="F109" s="483"/>
    </row>
    <row r="110" spans="2:6" ht="15" customHeight="1">
      <c r="B110" s="323" t="s">
        <v>305</v>
      </c>
      <c r="C110" s="323" t="s">
        <v>247</v>
      </c>
      <c r="D110" s="391">
        <v>3985</v>
      </c>
      <c r="E110" s="323" t="s">
        <v>2180</v>
      </c>
      <c r="F110" s="483"/>
    </row>
    <row r="111" spans="2:6" ht="15" customHeight="1">
      <c r="B111" s="323" t="s">
        <v>306</v>
      </c>
      <c r="C111" s="323" t="s">
        <v>253</v>
      </c>
      <c r="D111" s="391">
        <v>4945</v>
      </c>
      <c r="E111" s="323" t="s">
        <v>2180</v>
      </c>
      <c r="F111" s="483"/>
    </row>
    <row r="112" spans="2:6" ht="15" customHeight="1">
      <c r="B112" s="323" t="s">
        <v>307</v>
      </c>
      <c r="C112" s="323" t="s">
        <v>253</v>
      </c>
      <c r="D112" s="391">
        <v>4945</v>
      </c>
      <c r="E112" s="323" t="s">
        <v>2180</v>
      </c>
      <c r="F112" s="483"/>
    </row>
    <row r="113" spans="2:6" ht="15" customHeight="1">
      <c r="B113" s="323" t="s">
        <v>308</v>
      </c>
      <c r="C113" s="323" t="s">
        <v>247</v>
      </c>
      <c r="D113" s="391">
        <v>189.3</v>
      </c>
      <c r="E113" s="323" t="s">
        <v>2180</v>
      </c>
      <c r="F113" s="483"/>
    </row>
    <row r="114" spans="2:6" ht="15" customHeight="1">
      <c r="B114" s="350" t="s">
        <v>368</v>
      </c>
      <c r="C114" s="332"/>
      <c r="D114" s="391">
        <v>638</v>
      </c>
      <c r="E114" s="323" t="s">
        <v>2180</v>
      </c>
      <c r="F114" s="483"/>
    </row>
    <row r="115" spans="2:6" ht="15" customHeight="1">
      <c r="B115" s="332" t="s">
        <v>310</v>
      </c>
      <c r="C115" s="332" t="s">
        <v>2069</v>
      </c>
      <c r="D115" s="391">
        <v>17700</v>
      </c>
      <c r="E115" s="323" t="s">
        <v>2180</v>
      </c>
      <c r="F115" s="483"/>
    </row>
    <row r="116" spans="2:6" ht="15" customHeight="1">
      <c r="B116" s="323" t="s">
        <v>312</v>
      </c>
      <c r="C116" s="323" t="s">
        <v>2070</v>
      </c>
      <c r="D116" s="391">
        <v>22800</v>
      </c>
      <c r="E116" s="323" t="s">
        <v>2180</v>
      </c>
      <c r="F116" s="483"/>
    </row>
  </sheetData>
  <autoFilter ref="B3:E116"/>
  <sortState ref="B5:E116">
    <sortCondition ref="B4:B116"/>
  </sortState>
  <phoneticPr fontId="35" type="noConversion"/>
  <hyperlinks>
    <hyperlink ref="A2" location="Sisukord!A1" display="Sisukord"/>
  </hyperlinks>
  <pageMargins left="0.70866141732283472" right="0.70866141732283472" top="0.74803149606299213" bottom="0.74803149606299213" header="0.31496062992125984" footer="0.31496062992125984"/>
  <pageSetup scale="80"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H109"/>
  <sheetViews>
    <sheetView showGridLines="0" zoomScale="90" zoomScaleNormal="90" workbookViewId="0">
      <pane xSplit="1" ySplit="1" topLeftCell="B16" activePane="bottomRight" state="frozen"/>
      <selection activeCell="B5" sqref="B5"/>
      <selection pane="topRight" activeCell="B5" sqref="B5"/>
      <selection pane="bottomLeft" activeCell="B5" sqref="B5"/>
      <selection pane="bottomRight" activeCell="G38" sqref="G38"/>
    </sheetView>
  </sheetViews>
  <sheetFormatPr defaultColWidth="11.453125" defaultRowHeight="15" customHeight="1"/>
  <cols>
    <col min="1" max="1" width="7.1796875" style="302" customWidth="1"/>
    <col min="2" max="2" width="53.81640625" style="452" customWidth="1"/>
    <col min="3" max="3" width="26.7265625" style="481" customWidth="1"/>
    <col min="4" max="4" width="22" style="452" customWidth="1"/>
    <col min="5" max="5" width="17.54296875" style="452" customWidth="1"/>
    <col min="6" max="6" width="18.54296875" style="452" customWidth="1"/>
    <col min="7" max="8" width="11.453125" style="452" customWidth="1"/>
    <col min="9" max="10" width="11.453125" style="443" customWidth="1"/>
    <col min="11" max="12" width="11.453125" style="452" customWidth="1"/>
    <col min="13" max="235" width="11.453125" style="452"/>
    <col min="236" max="236" width="5.54296875" style="452" customWidth="1"/>
    <col min="237" max="237" width="25.54296875" style="452" customWidth="1"/>
    <col min="238" max="238" width="26.453125" style="452" customWidth="1"/>
    <col min="239" max="239" width="23.453125" style="452" customWidth="1"/>
    <col min="240" max="268" width="13.54296875" style="452" customWidth="1"/>
    <col min="269" max="491" width="11.453125" style="452"/>
    <col min="492" max="492" width="5.54296875" style="452" customWidth="1"/>
    <col min="493" max="493" width="25.54296875" style="452" customWidth="1"/>
    <col min="494" max="494" width="26.453125" style="452" customWidth="1"/>
    <col min="495" max="495" width="23.453125" style="452" customWidth="1"/>
    <col min="496" max="524" width="13.54296875" style="452" customWidth="1"/>
    <col min="525" max="747" width="11.453125" style="452"/>
    <col min="748" max="748" width="5.54296875" style="452" customWidth="1"/>
    <col min="749" max="749" width="25.54296875" style="452" customWidth="1"/>
    <col min="750" max="750" width="26.453125" style="452" customWidth="1"/>
    <col min="751" max="751" width="23.453125" style="452" customWidth="1"/>
    <col min="752" max="780" width="13.54296875" style="452" customWidth="1"/>
    <col min="781" max="1003" width="11.453125" style="452"/>
    <col min="1004" max="1004" width="5.54296875" style="452" customWidth="1"/>
    <col min="1005" max="1005" width="25.54296875" style="452" customWidth="1"/>
    <col min="1006" max="1006" width="26.453125" style="452" customWidth="1"/>
    <col min="1007" max="1007" width="23.453125" style="452" customWidth="1"/>
    <col min="1008" max="1036" width="13.54296875" style="452" customWidth="1"/>
    <col min="1037" max="1259" width="11.453125" style="452"/>
    <col min="1260" max="1260" width="5.54296875" style="452" customWidth="1"/>
    <col min="1261" max="1261" width="25.54296875" style="452" customWidth="1"/>
    <col min="1262" max="1262" width="26.453125" style="452" customWidth="1"/>
    <col min="1263" max="1263" width="23.453125" style="452" customWidth="1"/>
    <col min="1264" max="1292" width="13.54296875" style="452" customWidth="1"/>
    <col min="1293" max="1515" width="11.453125" style="452"/>
    <col min="1516" max="1516" width="5.54296875" style="452" customWidth="1"/>
    <col min="1517" max="1517" width="25.54296875" style="452" customWidth="1"/>
    <col min="1518" max="1518" width="26.453125" style="452" customWidth="1"/>
    <col min="1519" max="1519" width="23.453125" style="452" customWidth="1"/>
    <col min="1520" max="1548" width="13.54296875" style="452" customWidth="1"/>
    <col min="1549" max="1771" width="11.453125" style="452"/>
    <col min="1772" max="1772" width="5.54296875" style="452" customWidth="1"/>
    <col min="1773" max="1773" width="25.54296875" style="452" customWidth="1"/>
    <col min="1774" max="1774" width="26.453125" style="452" customWidth="1"/>
    <col min="1775" max="1775" width="23.453125" style="452" customWidth="1"/>
    <col min="1776" max="1804" width="13.54296875" style="452" customWidth="1"/>
    <col min="1805" max="2027" width="11.453125" style="452"/>
    <col min="2028" max="2028" width="5.54296875" style="452" customWidth="1"/>
    <col min="2029" max="2029" width="25.54296875" style="452" customWidth="1"/>
    <col min="2030" max="2030" width="26.453125" style="452" customWidth="1"/>
    <col min="2031" max="2031" width="23.453125" style="452" customWidth="1"/>
    <col min="2032" max="2060" width="13.54296875" style="452" customWidth="1"/>
    <col min="2061" max="2283" width="11.453125" style="452"/>
    <col min="2284" max="2284" width="5.54296875" style="452" customWidth="1"/>
    <col min="2285" max="2285" width="25.54296875" style="452" customWidth="1"/>
    <col min="2286" max="2286" width="26.453125" style="452" customWidth="1"/>
    <col min="2287" max="2287" width="23.453125" style="452" customWidth="1"/>
    <col min="2288" max="2316" width="13.54296875" style="452" customWidth="1"/>
    <col min="2317" max="2539" width="11.453125" style="452"/>
    <col min="2540" max="2540" width="5.54296875" style="452" customWidth="1"/>
    <col min="2541" max="2541" width="25.54296875" style="452" customWidth="1"/>
    <col min="2542" max="2542" width="26.453125" style="452" customWidth="1"/>
    <col min="2543" max="2543" width="23.453125" style="452" customWidth="1"/>
    <col min="2544" max="2572" width="13.54296875" style="452" customWidth="1"/>
    <col min="2573" max="2795" width="11.453125" style="452"/>
    <col min="2796" max="2796" width="5.54296875" style="452" customWidth="1"/>
    <col min="2797" max="2797" width="25.54296875" style="452" customWidth="1"/>
    <col min="2798" max="2798" width="26.453125" style="452" customWidth="1"/>
    <col min="2799" max="2799" width="23.453125" style="452" customWidth="1"/>
    <col min="2800" max="2828" width="13.54296875" style="452" customWidth="1"/>
    <col min="2829" max="3051" width="11.453125" style="452"/>
    <col min="3052" max="3052" width="5.54296875" style="452" customWidth="1"/>
    <col min="3053" max="3053" width="25.54296875" style="452" customWidth="1"/>
    <col min="3054" max="3054" width="26.453125" style="452" customWidth="1"/>
    <col min="3055" max="3055" width="23.453125" style="452" customWidth="1"/>
    <col min="3056" max="3084" width="13.54296875" style="452" customWidth="1"/>
    <col min="3085" max="3307" width="11.453125" style="452"/>
    <col min="3308" max="3308" width="5.54296875" style="452" customWidth="1"/>
    <col min="3309" max="3309" width="25.54296875" style="452" customWidth="1"/>
    <col min="3310" max="3310" width="26.453125" style="452" customWidth="1"/>
    <col min="3311" max="3311" width="23.453125" style="452" customWidth="1"/>
    <col min="3312" max="3340" width="13.54296875" style="452" customWidth="1"/>
    <col min="3341" max="3563" width="11.453125" style="452"/>
    <col min="3564" max="3564" width="5.54296875" style="452" customWidth="1"/>
    <col min="3565" max="3565" width="25.54296875" style="452" customWidth="1"/>
    <col min="3566" max="3566" width="26.453125" style="452" customWidth="1"/>
    <col min="3567" max="3567" width="23.453125" style="452" customWidth="1"/>
    <col min="3568" max="3596" width="13.54296875" style="452" customWidth="1"/>
    <col min="3597" max="3819" width="11.453125" style="452"/>
    <col min="3820" max="3820" width="5.54296875" style="452" customWidth="1"/>
    <col min="3821" max="3821" width="25.54296875" style="452" customWidth="1"/>
    <col min="3822" max="3822" width="26.453125" style="452" customWidth="1"/>
    <col min="3823" max="3823" width="23.453125" style="452" customWidth="1"/>
    <col min="3824" max="3852" width="13.54296875" style="452" customWidth="1"/>
    <col min="3853" max="4075" width="11.453125" style="452"/>
    <col min="4076" max="4076" width="5.54296875" style="452" customWidth="1"/>
    <col min="4077" max="4077" width="25.54296875" style="452" customWidth="1"/>
    <col min="4078" max="4078" width="26.453125" style="452" customWidth="1"/>
    <col min="4079" max="4079" width="23.453125" style="452" customWidth="1"/>
    <col min="4080" max="4108" width="13.54296875" style="452" customWidth="1"/>
    <col min="4109" max="4331" width="11.453125" style="452"/>
    <col min="4332" max="4332" width="5.54296875" style="452" customWidth="1"/>
    <col min="4333" max="4333" width="25.54296875" style="452" customWidth="1"/>
    <col min="4334" max="4334" width="26.453125" style="452" customWidth="1"/>
    <col min="4335" max="4335" width="23.453125" style="452" customWidth="1"/>
    <col min="4336" max="4364" width="13.54296875" style="452" customWidth="1"/>
    <col min="4365" max="4587" width="11.453125" style="452"/>
    <col min="4588" max="4588" width="5.54296875" style="452" customWidth="1"/>
    <col min="4589" max="4589" width="25.54296875" style="452" customWidth="1"/>
    <col min="4590" max="4590" width="26.453125" style="452" customWidth="1"/>
    <col min="4591" max="4591" width="23.453125" style="452" customWidth="1"/>
    <col min="4592" max="4620" width="13.54296875" style="452" customWidth="1"/>
    <col min="4621" max="4843" width="11.453125" style="452"/>
    <col min="4844" max="4844" width="5.54296875" style="452" customWidth="1"/>
    <col min="4845" max="4845" width="25.54296875" style="452" customWidth="1"/>
    <col min="4846" max="4846" width="26.453125" style="452" customWidth="1"/>
    <col min="4847" max="4847" width="23.453125" style="452" customWidth="1"/>
    <col min="4848" max="4876" width="13.54296875" style="452" customWidth="1"/>
    <col min="4877" max="5099" width="11.453125" style="452"/>
    <col min="5100" max="5100" width="5.54296875" style="452" customWidth="1"/>
    <col min="5101" max="5101" width="25.54296875" style="452" customWidth="1"/>
    <col min="5102" max="5102" width="26.453125" style="452" customWidth="1"/>
    <col min="5103" max="5103" width="23.453125" style="452" customWidth="1"/>
    <col min="5104" max="5132" width="13.54296875" style="452" customWidth="1"/>
    <col min="5133" max="5355" width="11.453125" style="452"/>
    <col min="5356" max="5356" width="5.54296875" style="452" customWidth="1"/>
    <col min="5357" max="5357" width="25.54296875" style="452" customWidth="1"/>
    <col min="5358" max="5358" width="26.453125" style="452" customWidth="1"/>
    <col min="5359" max="5359" width="23.453125" style="452" customWidth="1"/>
    <col min="5360" max="5388" width="13.54296875" style="452" customWidth="1"/>
    <col min="5389" max="5611" width="11.453125" style="452"/>
    <col min="5612" max="5612" width="5.54296875" style="452" customWidth="1"/>
    <col min="5613" max="5613" width="25.54296875" style="452" customWidth="1"/>
    <col min="5614" max="5614" width="26.453125" style="452" customWidth="1"/>
    <col min="5615" max="5615" width="23.453125" style="452" customWidth="1"/>
    <col min="5616" max="5644" width="13.54296875" style="452" customWidth="1"/>
    <col min="5645" max="5867" width="11.453125" style="452"/>
    <col min="5868" max="5868" width="5.54296875" style="452" customWidth="1"/>
    <col min="5869" max="5869" width="25.54296875" style="452" customWidth="1"/>
    <col min="5870" max="5870" width="26.453125" style="452" customWidth="1"/>
    <col min="5871" max="5871" width="23.453125" style="452" customWidth="1"/>
    <col min="5872" max="5900" width="13.54296875" style="452" customWidth="1"/>
    <col min="5901" max="6123" width="11.453125" style="452"/>
    <col min="6124" max="6124" width="5.54296875" style="452" customWidth="1"/>
    <col min="6125" max="6125" width="25.54296875" style="452" customWidth="1"/>
    <col min="6126" max="6126" width="26.453125" style="452" customWidth="1"/>
    <col min="6127" max="6127" width="23.453125" style="452" customWidth="1"/>
    <col min="6128" max="6156" width="13.54296875" style="452" customWidth="1"/>
    <col min="6157" max="6379" width="11.453125" style="452"/>
    <col min="6380" max="6380" width="5.54296875" style="452" customWidth="1"/>
    <col min="6381" max="6381" width="25.54296875" style="452" customWidth="1"/>
    <col min="6382" max="6382" width="26.453125" style="452" customWidth="1"/>
    <col min="6383" max="6383" width="23.453125" style="452" customWidth="1"/>
    <col min="6384" max="6412" width="13.54296875" style="452" customWidth="1"/>
    <col min="6413" max="6635" width="11.453125" style="452"/>
    <col min="6636" max="6636" width="5.54296875" style="452" customWidth="1"/>
    <col min="6637" max="6637" width="25.54296875" style="452" customWidth="1"/>
    <col min="6638" max="6638" width="26.453125" style="452" customWidth="1"/>
    <col min="6639" max="6639" width="23.453125" style="452" customWidth="1"/>
    <col min="6640" max="6668" width="13.54296875" style="452" customWidth="1"/>
    <col min="6669" max="6891" width="11.453125" style="452"/>
    <col min="6892" max="6892" width="5.54296875" style="452" customWidth="1"/>
    <col min="6893" max="6893" width="25.54296875" style="452" customWidth="1"/>
    <col min="6894" max="6894" width="26.453125" style="452" customWidth="1"/>
    <col min="6895" max="6895" width="23.453125" style="452" customWidth="1"/>
    <col min="6896" max="6924" width="13.54296875" style="452" customWidth="1"/>
    <col min="6925" max="7147" width="11.453125" style="452"/>
    <col min="7148" max="7148" width="5.54296875" style="452" customWidth="1"/>
    <col min="7149" max="7149" width="25.54296875" style="452" customWidth="1"/>
    <col min="7150" max="7150" width="26.453125" style="452" customWidth="1"/>
    <col min="7151" max="7151" width="23.453125" style="452" customWidth="1"/>
    <col min="7152" max="7180" width="13.54296875" style="452" customWidth="1"/>
    <col min="7181" max="7403" width="11.453125" style="452"/>
    <col min="7404" max="7404" width="5.54296875" style="452" customWidth="1"/>
    <col min="7405" max="7405" width="25.54296875" style="452" customWidth="1"/>
    <col min="7406" max="7406" width="26.453125" style="452" customWidth="1"/>
    <col min="7407" max="7407" width="23.453125" style="452" customWidth="1"/>
    <col min="7408" max="7436" width="13.54296875" style="452" customWidth="1"/>
    <col min="7437" max="7659" width="11.453125" style="452"/>
    <col min="7660" max="7660" width="5.54296875" style="452" customWidth="1"/>
    <col min="7661" max="7661" width="25.54296875" style="452" customWidth="1"/>
    <col min="7662" max="7662" width="26.453125" style="452" customWidth="1"/>
    <col min="7663" max="7663" width="23.453125" style="452" customWidth="1"/>
    <col min="7664" max="7692" width="13.54296875" style="452" customWidth="1"/>
    <col min="7693" max="7915" width="11.453125" style="452"/>
    <col min="7916" max="7916" width="5.54296875" style="452" customWidth="1"/>
    <col min="7917" max="7917" width="25.54296875" style="452" customWidth="1"/>
    <col min="7918" max="7918" width="26.453125" style="452" customWidth="1"/>
    <col min="7919" max="7919" width="23.453125" style="452" customWidth="1"/>
    <col min="7920" max="7948" width="13.54296875" style="452" customWidth="1"/>
    <col min="7949" max="8171" width="11.453125" style="452"/>
    <col min="8172" max="8172" width="5.54296875" style="452" customWidth="1"/>
    <col min="8173" max="8173" width="25.54296875" style="452" customWidth="1"/>
    <col min="8174" max="8174" width="26.453125" style="452" customWidth="1"/>
    <col min="8175" max="8175" width="23.453125" style="452" customWidth="1"/>
    <col min="8176" max="8204" width="13.54296875" style="452" customWidth="1"/>
    <col min="8205" max="8427" width="11.453125" style="452"/>
    <col min="8428" max="8428" width="5.54296875" style="452" customWidth="1"/>
    <col min="8429" max="8429" width="25.54296875" style="452" customWidth="1"/>
    <col min="8430" max="8430" width="26.453125" style="452" customWidth="1"/>
    <col min="8431" max="8431" width="23.453125" style="452" customWidth="1"/>
    <col min="8432" max="8460" width="13.54296875" style="452" customWidth="1"/>
    <col min="8461" max="8683" width="11.453125" style="452"/>
    <col min="8684" max="8684" width="5.54296875" style="452" customWidth="1"/>
    <col min="8685" max="8685" width="25.54296875" style="452" customWidth="1"/>
    <col min="8686" max="8686" width="26.453125" style="452" customWidth="1"/>
    <col min="8687" max="8687" width="23.453125" style="452" customWidth="1"/>
    <col min="8688" max="8716" width="13.54296875" style="452" customWidth="1"/>
    <col min="8717" max="8939" width="11.453125" style="452"/>
    <col min="8940" max="8940" width="5.54296875" style="452" customWidth="1"/>
    <col min="8941" max="8941" width="25.54296875" style="452" customWidth="1"/>
    <col min="8942" max="8942" width="26.453125" style="452" customWidth="1"/>
    <col min="8943" max="8943" width="23.453125" style="452" customWidth="1"/>
    <col min="8944" max="8972" width="13.54296875" style="452" customWidth="1"/>
    <col min="8973" max="9195" width="11.453125" style="452"/>
    <col min="9196" max="9196" width="5.54296875" style="452" customWidth="1"/>
    <col min="9197" max="9197" width="25.54296875" style="452" customWidth="1"/>
    <col min="9198" max="9198" width="26.453125" style="452" customWidth="1"/>
    <col min="9199" max="9199" width="23.453125" style="452" customWidth="1"/>
    <col min="9200" max="9228" width="13.54296875" style="452" customWidth="1"/>
    <col min="9229" max="9451" width="11.453125" style="452"/>
    <col min="9452" max="9452" width="5.54296875" style="452" customWidth="1"/>
    <col min="9453" max="9453" width="25.54296875" style="452" customWidth="1"/>
    <col min="9454" max="9454" width="26.453125" style="452" customWidth="1"/>
    <col min="9455" max="9455" width="23.453125" style="452" customWidth="1"/>
    <col min="9456" max="9484" width="13.54296875" style="452" customWidth="1"/>
    <col min="9485" max="9707" width="11.453125" style="452"/>
    <col min="9708" max="9708" width="5.54296875" style="452" customWidth="1"/>
    <col min="9709" max="9709" width="25.54296875" style="452" customWidth="1"/>
    <col min="9710" max="9710" width="26.453125" style="452" customWidth="1"/>
    <col min="9711" max="9711" width="23.453125" style="452" customWidth="1"/>
    <col min="9712" max="9740" width="13.54296875" style="452" customWidth="1"/>
    <col min="9741" max="9963" width="11.453125" style="452"/>
    <col min="9964" max="9964" width="5.54296875" style="452" customWidth="1"/>
    <col min="9965" max="9965" width="25.54296875" style="452" customWidth="1"/>
    <col min="9966" max="9966" width="26.453125" style="452" customWidth="1"/>
    <col min="9967" max="9967" width="23.453125" style="452" customWidth="1"/>
    <col min="9968" max="9996" width="13.54296875" style="452" customWidth="1"/>
    <col min="9997" max="10219" width="11.453125" style="452"/>
    <col min="10220" max="10220" width="5.54296875" style="452" customWidth="1"/>
    <col min="10221" max="10221" width="25.54296875" style="452" customWidth="1"/>
    <col min="10222" max="10222" width="26.453125" style="452" customWidth="1"/>
    <col min="10223" max="10223" width="23.453125" style="452" customWidth="1"/>
    <col min="10224" max="10252" width="13.54296875" style="452" customWidth="1"/>
    <col min="10253" max="10475" width="11.453125" style="452"/>
    <col min="10476" max="10476" width="5.54296875" style="452" customWidth="1"/>
    <col min="10477" max="10477" width="25.54296875" style="452" customWidth="1"/>
    <col min="10478" max="10478" width="26.453125" style="452" customWidth="1"/>
    <col min="10479" max="10479" width="23.453125" style="452" customWidth="1"/>
    <col min="10480" max="10508" width="13.54296875" style="452" customWidth="1"/>
    <col min="10509" max="10731" width="11.453125" style="452"/>
    <col min="10732" max="10732" width="5.54296875" style="452" customWidth="1"/>
    <col min="10733" max="10733" width="25.54296875" style="452" customWidth="1"/>
    <col min="10734" max="10734" width="26.453125" style="452" customWidth="1"/>
    <col min="10735" max="10735" width="23.453125" style="452" customWidth="1"/>
    <col min="10736" max="10764" width="13.54296875" style="452" customWidth="1"/>
    <col min="10765" max="10987" width="11.453125" style="452"/>
    <col min="10988" max="10988" width="5.54296875" style="452" customWidth="1"/>
    <col min="10989" max="10989" width="25.54296875" style="452" customWidth="1"/>
    <col min="10990" max="10990" width="26.453125" style="452" customWidth="1"/>
    <col min="10991" max="10991" width="23.453125" style="452" customWidth="1"/>
    <col min="10992" max="11020" width="13.54296875" style="452" customWidth="1"/>
    <col min="11021" max="11243" width="11.453125" style="452"/>
    <col min="11244" max="11244" width="5.54296875" style="452" customWidth="1"/>
    <col min="11245" max="11245" width="25.54296875" style="452" customWidth="1"/>
    <col min="11246" max="11246" width="26.453125" style="452" customWidth="1"/>
    <col min="11247" max="11247" width="23.453125" style="452" customWidth="1"/>
    <col min="11248" max="11276" width="13.54296875" style="452" customWidth="1"/>
    <col min="11277" max="11499" width="11.453125" style="452"/>
    <col min="11500" max="11500" width="5.54296875" style="452" customWidth="1"/>
    <col min="11501" max="11501" width="25.54296875" style="452" customWidth="1"/>
    <col min="11502" max="11502" width="26.453125" style="452" customWidth="1"/>
    <col min="11503" max="11503" width="23.453125" style="452" customWidth="1"/>
    <col min="11504" max="11532" width="13.54296875" style="452" customWidth="1"/>
    <col min="11533" max="11755" width="11.453125" style="452"/>
    <col min="11756" max="11756" width="5.54296875" style="452" customWidth="1"/>
    <col min="11757" max="11757" width="25.54296875" style="452" customWidth="1"/>
    <col min="11758" max="11758" width="26.453125" style="452" customWidth="1"/>
    <col min="11759" max="11759" width="23.453125" style="452" customWidth="1"/>
    <col min="11760" max="11788" width="13.54296875" style="452" customWidth="1"/>
    <col min="11789" max="12011" width="11.453125" style="452"/>
    <col min="12012" max="12012" width="5.54296875" style="452" customWidth="1"/>
    <col min="12013" max="12013" width="25.54296875" style="452" customWidth="1"/>
    <col min="12014" max="12014" width="26.453125" style="452" customWidth="1"/>
    <col min="12015" max="12015" width="23.453125" style="452" customWidth="1"/>
    <col min="12016" max="12044" width="13.54296875" style="452" customWidth="1"/>
    <col min="12045" max="12267" width="11.453125" style="452"/>
    <col min="12268" max="12268" width="5.54296875" style="452" customWidth="1"/>
    <col min="12269" max="12269" width="25.54296875" style="452" customWidth="1"/>
    <col min="12270" max="12270" width="26.453125" style="452" customWidth="1"/>
    <col min="12271" max="12271" width="23.453125" style="452" customWidth="1"/>
    <col min="12272" max="12300" width="13.54296875" style="452" customWidth="1"/>
    <col min="12301" max="12523" width="11.453125" style="452"/>
    <col min="12524" max="12524" width="5.54296875" style="452" customWidth="1"/>
    <col min="12525" max="12525" width="25.54296875" style="452" customWidth="1"/>
    <col min="12526" max="12526" width="26.453125" style="452" customWidth="1"/>
    <col min="12527" max="12527" width="23.453125" style="452" customWidth="1"/>
    <col min="12528" max="12556" width="13.54296875" style="452" customWidth="1"/>
    <col min="12557" max="12779" width="11.453125" style="452"/>
    <col min="12780" max="12780" width="5.54296875" style="452" customWidth="1"/>
    <col min="12781" max="12781" width="25.54296875" style="452" customWidth="1"/>
    <col min="12782" max="12782" width="26.453125" style="452" customWidth="1"/>
    <col min="12783" max="12783" width="23.453125" style="452" customWidth="1"/>
    <col min="12784" max="12812" width="13.54296875" style="452" customWidth="1"/>
    <col min="12813" max="13035" width="11.453125" style="452"/>
    <col min="13036" max="13036" width="5.54296875" style="452" customWidth="1"/>
    <col min="13037" max="13037" width="25.54296875" style="452" customWidth="1"/>
    <col min="13038" max="13038" width="26.453125" style="452" customWidth="1"/>
    <col min="13039" max="13039" width="23.453125" style="452" customWidth="1"/>
    <col min="13040" max="13068" width="13.54296875" style="452" customWidth="1"/>
    <col min="13069" max="13291" width="11.453125" style="452"/>
    <col min="13292" max="13292" width="5.54296875" style="452" customWidth="1"/>
    <col min="13293" max="13293" width="25.54296875" style="452" customWidth="1"/>
    <col min="13294" max="13294" width="26.453125" style="452" customWidth="1"/>
    <col min="13295" max="13295" width="23.453125" style="452" customWidth="1"/>
    <col min="13296" max="13324" width="13.54296875" style="452" customWidth="1"/>
    <col min="13325" max="13547" width="11.453125" style="452"/>
    <col min="13548" max="13548" width="5.54296875" style="452" customWidth="1"/>
    <col min="13549" max="13549" width="25.54296875" style="452" customWidth="1"/>
    <col min="13550" max="13550" width="26.453125" style="452" customWidth="1"/>
    <col min="13551" max="13551" width="23.453125" style="452" customWidth="1"/>
    <col min="13552" max="13580" width="13.54296875" style="452" customWidth="1"/>
    <col min="13581" max="13803" width="11.453125" style="452"/>
    <col min="13804" max="13804" width="5.54296875" style="452" customWidth="1"/>
    <col min="13805" max="13805" width="25.54296875" style="452" customWidth="1"/>
    <col min="13806" max="13806" width="26.453125" style="452" customWidth="1"/>
    <col min="13807" max="13807" width="23.453125" style="452" customWidth="1"/>
    <col min="13808" max="13836" width="13.54296875" style="452" customWidth="1"/>
    <col min="13837" max="14059" width="11.453125" style="452"/>
    <col min="14060" max="14060" width="5.54296875" style="452" customWidth="1"/>
    <col min="14061" max="14061" width="25.54296875" style="452" customWidth="1"/>
    <col min="14062" max="14062" width="26.453125" style="452" customWidth="1"/>
    <col min="14063" max="14063" width="23.453125" style="452" customWidth="1"/>
    <col min="14064" max="14092" width="13.54296875" style="452" customWidth="1"/>
    <col min="14093" max="14315" width="11.453125" style="452"/>
    <col min="14316" max="14316" width="5.54296875" style="452" customWidth="1"/>
    <col min="14317" max="14317" width="25.54296875" style="452" customWidth="1"/>
    <col min="14318" max="14318" width="26.453125" style="452" customWidth="1"/>
    <col min="14319" max="14319" width="23.453125" style="452" customWidth="1"/>
    <col min="14320" max="14348" width="13.54296875" style="452" customWidth="1"/>
    <col min="14349" max="14571" width="11.453125" style="452"/>
    <col min="14572" max="14572" width="5.54296875" style="452" customWidth="1"/>
    <col min="14573" max="14573" width="25.54296875" style="452" customWidth="1"/>
    <col min="14574" max="14574" width="26.453125" style="452" customWidth="1"/>
    <col min="14575" max="14575" width="23.453125" style="452" customWidth="1"/>
    <col min="14576" max="14604" width="13.54296875" style="452" customWidth="1"/>
    <col min="14605" max="14827" width="11.453125" style="452"/>
    <col min="14828" max="14828" width="5.54296875" style="452" customWidth="1"/>
    <col min="14829" max="14829" width="25.54296875" style="452" customWidth="1"/>
    <col min="14830" max="14830" width="26.453125" style="452" customWidth="1"/>
    <col min="14831" max="14831" width="23.453125" style="452" customWidth="1"/>
    <col min="14832" max="14860" width="13.54296875" style="452" customWidth="1"/>
    <col min="14861" max="15083" width="11.453125" style="452"/>
    <col min="15084" max="15084" width="5.54296875" style="452" customWidth="1"/>
    <col min="15085" max="15085" width="25.54296875" style="452" customWidth="1"/>
    <col min="15086" max="15086" width="26.453125" style="452" customWidth="1"/>
    <col min="15087" max="15087" width="23.453125" style="452" customWidth="1"/>
    <col min="15088" max="15116" width="13.54296875" style="452" customWidth="1"/>
    <col min="15117" max="15339" width="11.453125" style="452"/>
    <col min="15340" max="15340" width="5.54296875" style="452" customWidth="1"/>
    <col min="15341" max="15341" width="25.54296875" style="452" customWidth="1"/>
    <col min="15342" max="15342" width="26.453125" style="452" customWidth="1"/>
    <col min="15343" max="15343" width="23.453125" style="452" customWidth="1"/>
    <col min="15344" max="15372" width="13.54296875" style="452" customWidth="1"/>
    <col min="15373" max="15595" width="11.453125" style="452"/>
    <col min="15596" max="15596" width="5.54296875" style="452" customWidth="1"/>
    <col min="15597" max="15597" width="25.54296875" style="452" customWidth="1"/>
    <col min="15598" max="15598" width="26.453125" style="452" customWidth="1"/>
    <col min="15599" max="15599" width="23.453125" style="452" customWidth="1"/>
    <col min="15600" max="15628" width="13.54296875" style="452" customWidth="1"/>
    <col min="15629" max="15851" width="11.453125" style="452"/>
    <col min="15852" max="15852" width="5.54296875" style="452" customWidth="1"/>
    <col min="15853" max="15853" width="25.54296875" style="452" customWidth="1"/>
    <col min="15854" max="15854" width="26.453125" style="452" customWidth="1"/>
    <col min="15855" max="15855" width="23.453125" style="452" customWidth="1"/>
    <col min="15856" max="15884" width="13.54296875" style="452" customWidth="1"/>
    <col min="15885" max="16107" width="11.453125" style="452"/>
    <col min="16108" max="16108" width="5.54296875" style="452" customWidth="1"/>
    <col min="16109" max="16109" width="25.54296875" style="452" customWidth="1"/>
    <col min="16110" max="16110" width="26.453125" style="452" customWidth="1"/>
    <col min="16111" max="16111" width="23.453125" style="452" customWidth="1"/>
    <col min="16112" max="16140" width="13.54296875" style="452" customWidth="1"/>
    <col min="16141" max="16384" width="11.453125" style="452"/>
  </cols>
  <sheetData>
    <row r="1" spans="1:20" s="297" customFormat="1" ht="21" customHeight="1">
      <c r="A1" s="302"/>
      <c r="B1" s="291" t="s">
        <v>1806</v>
      </c>
    </row>
    <row r="2" spans="1:20" s="297" customFormat="1" ht="15" customHeight="1">
      <c r="A2" s="295" t="s">
        <v>1</v>
      </c>
      <c r="B2" s="319"/>
    </row>
    <row r="3" spans="1:20" s="443" customFormat="1" ht="15" customHeight="1">
      <c r="A3" s="297"/>
      <c r="B3" s="320" t="s">
        <v>344</v>
      </c>
      <c r="C3" s="385"/>
      <c r="D3" s="385"/>
      <c r="E3" s="386"/>
      <c r="F3" s="386"/>
      <c r="G3" s="386"/>
      <c r="H3" s="386"/>
      <c r="I3" s="386"/>
      <c r="J3" s="424"/>
      <c r="K3" s="297"/>
      <c r="L3" s="297"/>
      <c r="M3" s="297"/>
      <c r="N3" s="297"/>
    </row>
    <row r="4" spans="1:20" s="395" customFormat="1" ht="15" customHeight="1">
      <c r="A4" s="297"/>
      <c r="B4" s="387" t="s">
        <v>1842</v>
      </c>
      <c r="C4" s="454" t="s">
        <v>126</v>
      </c>
      <c r="D4" s="388" t="s">
        <v>81</v>
      </c>
      <c r="E4" s="387" t="s">
        <v>142</v>
      </c>
      <c r="F4" s="388"/>
      <c r="G4" s="388"/>
      <c r="H4" s="388"/>
      <c r="I4" s="388"/>
      <c r="J4" s="455"/>
      <c r="K4" s="297"/>
      <c r="L4" s="297"/>
      <c r="M4" s="297"/>
      <c r="N4" s="297"/>
    </row>
    <row r="5" spans="1:20" s="395" customFormat="1" ht="15" customHeight="1">
      <c r="A5" s="297"/>
      <c r="B5" s="389" t="s">
        <v>1520</v>
      </c>
      <c r="C5" s="456">
        <f>Eriheited!G149</f>
        <v>0.23108569800628181</v>
      </c>
      <c r="D5" s="390" t="s">
        <v>2017</v>
      </c>
      <c r="E5" s="324" t="s">
        <v>1941</v>
      </c>
      <c r="F5" s="325"/>
      <c r="G5" s="325"/>
      <c r="H5" s="325"/>
      <c r="I5" s="325"/>
      <c r="J5" s="326"/>
      <c r="K5" s="297"/>
      <c r="L5" s="297"/>
      <c r="M5" s="297"/>
      <c r="N5" s="297"/>
    </row>
    <row r="6" spans="1:20" s="395" customFormat="1" ht="15" customHeight="1">
      <c r="A6" s="297"/>
      <c r="B6" s="389" t="s">
        <v>1519</v>
      </c>
      <c r="C6" s="456">
        <f>Eriheited!G150</f>
        <v>0.19257141500523486</v>
      </c>
      <c r="D6" s="390" t="s">
        <v>2018</v>
      </c>
      <c r="E6" s="324" t="s">
        <v>346</v>
      </c>
      <c r="F6" s="325"/>
      <c r="G6" s="325"/>
      <c r="H6" s="325"/>
      <c r="I6" s="325"/>
      <c r="J6" s="326"/>
      <c r="K6" s="297"/>
      <c r="L6" s="297"/>
      <c r="M6" s="297"/>
      <c r="N6" s="297"/>
    </row>
    <row r="7" spans="1:20" s="395" customFormat="1" ht="15" customHeight="1">
      <c r="A7" s="302"/>
      <c r="B7" s="389" t="s">
        <v>1528</v>
      </c>
      <c r="C7" s="456">
        <f>Eriheited!G153</f>
        <v>1.1544912347397853E-2</v>
      </c>
      <c r="D7" s="390" t="s">
        <v>2017</v>
      </c>
      <c r="E7" s="324" t="s">
        <v>1941</v>
      </c>
      <c r="F7" s="325"/>
      <c r="G7" s="325"/>
      <c r="H7" s="325"/>
      <c r="I7" s="325"/>
      <c r="J7" s="326"/>
      <c r="K7" s="297"/>
      <c r="L7" s="297"/>
      <c r="M7" s="297"/>
      <c r="N7" s="297"/>
    </row>
    <row r="8" spans="1:20" s="395" customFormat="1" ht="15" customHeight="1">
      <c r="A8" s="297"/>
      <c r="B8" s="389" t="s">
        <v>1523</v>
      </c>
      <c r="C8" s="456">
        <f>Eriheited!G154</f>
        <v>9.6207602894982109E-3</v>
      </c>
      <c r="D8" s="390" t="s">
        <v>2018</v>
      </c>
      <c r="E8" s="324" t="s">
        <v>346</v>
      </c>
      <c r="F8" s="325"/>
      <c r="G8" s="325"/>
      <c r="H8" s="325"/>
      <c r="I8" s="325"/>
      <c r="J8" s="326"/>
      <c r="K8" s="297"/>
      <c r="L8" s="297"/>
      <c r="M8" s="297"/>
      <c r="N8" s="297"/>
    </row>
    <row r="9" spans="1:20" s="395" customFormat="1" ht="15" customHeight="1">
      <c r="A9" s="302"/>
      <c r="B9" s="389" t="s">
        <v>1527</v>
      </c>
      <c r="C9" s="456">
        <f>Eriheited!G155</f>
        <v>2.8458141120445779E-3</v>
      </c>
      <c r="D9" s="390" t="s">
        <v>2017</v>
      </c>
      <c r="E9" s="324" t="s">
        <v>1941</v>
      </c>
      <c r="F9" s="325"/>
      <c r="G9" s="325"/>
      <c r="H9" s="325"/>
      <c r="I9" s="325"/>
      <c r="J9" s="326"/>
      <c r="K9" s="297"/>
      <c r="L9" s="297"/>
      <c r="M9" s="297"/>
      <c r="N9" s="297"/>
      <c r="O9" s="297"/>
      <c r="P9" s="297"/>
      <c r="Q9" s="297"/>
      <c r="R9" s="297"/>
      <c r="S9" s="297"/>
      <c r="T9" s="297"/>
    </row>
    <row r="10" spans="1:20" s="395" customFormat="1" ht="15" customHeight="1">
      <c r="A10" s="302"/>
      <c r="B10" s="389" t="s">
        <v>1522</v>
      </c>
      <c r="C10" s="456">
        <f>Eriheited!G156</f>
        <v>2.3715117600371484E-3</v>
      </c>
      <c r="D10" s="390" t="s">
        <v>2018</v>
      </c>
      <c r="E10" s="324" t="s">
        <v>346</v>
      </c>
      <c r="F10" s="325"/>
      <c r="G10" s="325"/>
      <c r="H10" s="325"/>
      <c r="I10" s="325"/>
      <c r="J10" s="326"/>
      <c r="K10" s="297"/>
      <c r="L10" s="297"/>
      <c r="M10" s="297"/>
      <c r="N10" s="297"/>
      <c r="O10" s="297"/>
      <c r="P10" s="297"/>
      <c r="Q10" s="297"/>
      <c r="R10" s="297"/>
      <c r="S10" s="297"/>
      <c r="T10" s="297"/>
    </row>
    <row r="11" spans="1:20" s="395" customFormat="1" ht="15" customHeight="1">
      <c r="A11" s="302"/>
      <c r="B11" s="389" t="s">
        <v>1526</v>
      </c>
      <c r="C11" s="456">
        <f>Eriheited!G157</f>
        <v>0.21482302218350141</v>
      </c>
      <c r="D11" s="390" t="s">
        <v>2017</v>
      </c>
      <c r="E11" s="324" t="s">
        <v>1941</v>
      </c>
      <c r="F11" s="325"/>
      <c r="G11" s="325"/>
      <c r="H11" s="457"/>
      <c r="I11" s="325"/>
      <c r="J11" s="326"/>
      <c r="K11" s="297"/>
      <c r="L11" s="297"/>
      <c r="M11" s="297"/>
      <c r="N11" s="297"/>
      <c r="O11" s="297"/>
      <c r="P11" s="297"/>
      <c r="Q11" s="297"/>
      <c r="R11" s="297"/>
      <c r="S11" s="297"/>
      <c r="T11" s="297"/>
    </row>
    <row r="12" spans="1:20" s="395" customFormat="1" ht="15" customHeight="1">
      <c r="A12" s="302"/>
      <c r="B12" s="389" t="s">
        <v>1521</v>
      </c>
      <c r="C12" s="456">
        <f>Eriheited!G158</f>
        <v>0.17901918515291784</v>
      </c>
      <c r="D12" s="390" t="s">
        <v>2018</v>
      </c>
      <c r="E12" s="324" t="s">
        <v>346</v>
      </c>
      <c r="F12" s="325"/>
      <c r="G12" s="325"/>
      <c r="H12" s="325"/>
      <c r="I12" s="325"/>
      <c r="J12" s="326"/>
      <c r="K12" s="297"/>
      <c r="L12" s="297"/>
      <c r="M12" s="297"/>
      <c r="N12" s="297"/>
      <c r="O12" s="297"/>
      <c r="P12" s="297"/>
      <c r="Q12" s="297"/>
      <c r="R12" s="297"/>
      <c r="S12" s="297"/>
      <c r="T12" s="297"/>
    </row>
    <row r="13" spans="1:20" s="395" customFormat="1" ht="15" customHeight="1">
      <c r="A13" s="297"/>
      <c r="B13" s="389" t="s">
        <v>1640</v>
      </c>
      <c r="C13" s="456">
        <f>Eriheited!G151</f>
        <v>0.21601905219916823</v>
      </c>
      <c r="D13" s="390" t="s">
        <v>2017</v>
      </c>
      <c r="E13" s="324" t="s">
        <v>1963</v>
      </c>
      <c r="F13" s="325"/>
      <c r="G13" s="325"/>
      <c r="H13" s="325"/>
      <c r="I13" s="325"/>
      <c r="J13" s="326"/>
      <c r="K13" s="297"/>
      <c r="L13" s="297"/>
      <c r="M13" s="297"/>
      <c r="N13" s="297"/>
    </row>
    <row r="14" spans="1:20" s="395" customFormat="1" ht="15" customHeight="1">
      <c r="A14" s="297"/>
      <c r="B14" s="389" t="s">
        <v>1639</v>
      </c>
      <c r="C14" s="456">
        <f>Eriheited!G152</f>
        <v>0.1800158768326402</v>
      </c>
      <c r="D14" s="390" t="s">
        <v>2018</v>
      </c>
      <c r="E14" s="324" t="s">
        <v>346</v>
      </c>
      <c r="F14" s="325"/>
      <c r="G14" s="325"/>
      <c r="H14" s="325"/>
      <c r="I14" s="325"/>
      <c r="J14" s="326"/>
      <c r="K14" s="297"/>
      <c r="L14" s="297"/>
      <c r="M14" s="297"/>
      <c r="N14" s="297"/>
    </row>
    <row r="15" spans="1:20" s="395" customFormat="1" ht="15" customHeight="1">
      <c r="A15" s="302"/>
      <c r="B15" s="389" t="s">
        <v>1529</v>
      </c>
      <c r="C15" s="456">
        <f>Eriheited!G159</f>
        <v>0</v>
      </c>
      <c r="D15" s="390" t="s">
        <v>2017</v>
      </c>
      <c r="E15" s="324" t="s">
        <v>146</v>
      </c>
      <c r="F15" s="325"/>
      <c r="G15" s="325"/>
      <c r="H15" s="325"/>
      <c r="I15" s="325"/>
      <c r="J15" s="326"/>
      <c r="K15" s="297"/>
      <c r="L15" s="297"/>
      <c r="M15" s="297"/>
      <c r="N15" s="297"/>
    </row>
    <row r="16" spans="1:20" s="395" customFormat="1" ht="15" customHeight="1">
      <c r="A16" s="302"/>
      <c r="B16" s="389" t="s">
        <v>1524</v>
      </c>
      <c r="C16" s="456">
        <f>Eriheited!G160</f>
        <v>0</v>
      </c>
      <c r="D16" s="390" t="s">
        <v>2018</v>
      </c>
      <c r="E16" s="324" t="s">
        <v>146</v>
      </c>
      <c r="F16" s="325"/>
      <c r="G16" s="325"/>
      <c r="H16" s="325"/>
      <c r="I16" s="325"/>
      <c r="J16" s="326"/>
      <c r="K16" s="297"/>
      <c r="L16" s="297"/>
      <c r="M16" s="297"/>
      <c r="N16" s="297"/>
    </row>
    <row r="17" spans="1:33" s="395" customFormat="1" ht="15" customHeight="1">
      <c r="A17" s="302"/>
      <c r="B17" s="393" t="s">
        <v>1530</v>
      </c>
      <c r="C17" s="456">
        <f>Eriheited!G161</f>
        <v>0.15914500000000001</v>
      </c>
      <c r="D17" s="390" t="s">
        <v>2017</v>
      </c>
      <c r="E17" s="323" t="s">
        <v>2216</v>
      </c>
      <c r="F17" s="325"/>
      <c r="G17" s="325"/>
      <c r="H17" s="325"/>
      <c r="I17" s="325"/>
      <c r="J17" s="326"/>
      <c r="K17" s="297"/>
      <c r="L17" s="297"/>
      <c r="M17" s="297"/>
      <c r="N17" s="297"/>
    </row>
    <row r="18" spans="1:33" s="395" customFormat="1" ht="15" customHeight="1">
      <c r="A18" s="302"/>
      <c r="B18" s="393" t="s">
        <v>1525</v>
      </c>
      <c r="C18" s="456">
        <f>Eriheited!G162</f>
        <v>0.13262083333333335</v>
      </c>
      <c r="D18" s="390" t="s">
        <v>2018</v>
      </c>
      <c r="E18" s="324" t="s">
        <v>1879</v>
      </c>
      <c r="F18" s="325"/>
      <c r="G18" s="325"/>
      <c r="H18" s="325"/>
      <c r="I18" s="458"/>
      <c r="J18" s="326"/>
      <c r="K18" s="297"/>
      <c r="L18" s="297"/>
      <c r="M18" s="297"/>
      <c r="N18" s="297"/>
    </row>
    <row r="19" spans="1:33" s="395" customFormat="1" ht="15" customHeight="1">
      <c r="A19" s="297"/>
      <c r="B19" s="394"/>
      <c r="D19" s="396"/>
      <c r="E19" s="297"/>
      <c r="F19" s="396"/>
      <c r="G19" s="297"/>
      <c r="H19" s="297"/>
      <c r="I19" s="297"/>
      <c r="J19" s="297"/>
      <c r="K19" s="433"/>
      <c r="L19" s="459"/>
    </row>
    <row r="20" spans="1:33" s="395" customFormat="1" ht="15" customHeight="1">
      <c r="A20" s="297"/>
      <c r="B20" s="394"/>
      <c r="C20" s="397"/>
      <c r="D20" s="398"/>
      <c r="E20" s="297"/>
      <c r="F20" s="396"/>
      <c r="G20" s="297"/>
      <c r="H20" s="297"/>
      <c r="I20" s="297"/>
      <c r="J20" s="297"/>
      <c r="K20" s="433"/>
      <c r="L20" s="459"/>
    </row>
    <row r="21" spans="1:33" s="395" customFormat="1" ht="15" customHeight="1">
      <c r="A21" s="302"/>
      <c r="B21" s="991" t="s">
        <v>1843</v>
      </c>
      <c r="C21" s="988" t="s">
        <v>126</v>
      </c>
      <c r="D21" s="989"/>
      <c r="E21" s="990"/>
      <c r="F21" s="402" t="s">
        <v>81</v>
      </c>
      <c r="G21" s="403" t="s">
        <v>142</v>
      </c>
      <c r="H21" s="404"/>
      <c r="I21" s="404"/>
      <c r="J21" s="417"/>
      <c r="K21" s="417"/>
      <c r="L21" s="417"/>
      <c r="M21" s="417"/>
      <c r="N21" s="417"/>
      <c r="O21" s="418"/>
    </row>
    <row r="22" spans="1:33" s="395" customFormat="1" ht="15" customHeight="1">
      <c r="A22" s="302"/>
      <c r="B22" s="992"/>
      <c r="C22" s="405" t="s">
        <v>347</v>
      </c>
      <c r="D22" s="406" t="s">
        <v>348</v>
      </c>
      <c r="E22" s="405" t="s">
        <v>349</v>
      </c>
      <c r="F22" s="357"/>
      <c r="G22" s="357"/>
      <c r="H22" s="407"/>
      <c r="I22" s="407"/>
      <c r="J22" s="419"/>
      <c r="K22" s="419"/>
      <c r="L22" s="419"/>
      <c r="M22" s="419"/>
      <c r="N22" s="419"/>
      <c r="O22" s="420"/>
    </row>
    <row r="23" spans="1:33" s="395" customFormat="1" ht="15" customHeight="1">
      <c r="A23" s="302"/>
      <c r="B23" s="408" t="s">
        <v>1550</v>
      </c>
      <c r="C23" s="409"/>
      <c r="D23" s="409"/>
      <c r="E23" s="410">
        <f>Eriheited!E167</f>
        <v>2.6663324107032472E-2</v>
      </c>
      <c r="F23" s="390" t="s">
        <v>2017</v>
      </c>
      <c r="G23" s="411" t="s">
        <v>351</v>
      </c>
      <c r="H23" s="412"/>
      <c r="I23" s="325"/>
      <c r="J23" s="412"/>
      <c r="K23" s="412"/>
      <c r="L23" s="325"/>
      <c r="M23" s="325"/>
      <c r="N23" s="325"/>
      <c r="O23" s="326"/>
    </row>
    <row r="24" spans="1:33" s="395" customFormat="1" ht="15" customHeight="1">
      <c r="A24" s="302"/>
      <c r="B24" s="408" t="s">
        <v>1549</v>
      </c>
      <c r="C24" s="410">
        <f>Eriheited!C168</f>
        <v>5.9251831348961052E-3</v>
      </c>
      <c r="D24" s="410">
        <f>Eriheited!D168</f>
        <v>2.9625915674480526E-3</v>
      </c>
      <c r="E24" s="409"/>
      <c r="F24" s="390" t="s">
        <v>2018</v>
      </c>
      <c r="G24" s="411" t="s">
        <v>352</v>
      </c>
      <c r="H24" s="412"/>
      <c r="I24" s="325"/>
      <c r="J24" s="412"/>
      <c r="K24" s="412"/>
      <c r="L24" s="325"/>
      <c r="M24" s="325"/>
      <c r="N24" s="325"/>
      <c r="O24" s="326"/>
      <c r="P24" s="297"/>
      <c r="Q24" s="297"/>
      <c r="R24" s="297"/>
      <c r="S24" s="297"/>
      <c r="T24" s="297"/>
    </row>
    <row r="25" spans="1:33" s="395" customFormat="1" ht="15" customHeight="1">
      <c r="A25" s="302"/>
      <c r="B25" s="408" t="s">
        <v>1548</v>
      </c>
      <c r="C25" s="409"/>
      <c r="D25" s="409"/>
      <c r="E25" s="410">
        <f>Eriheited!E169</f>
        <v>6.5724937300986955E-3</v>
      </c>
      <c r="F25" s="390" t="s">
        <v>2017</v>
      </c>
      <c r="G25" s="411" t="s">
        <v>351</v>
      </c>
      <c r="H25" s="412"/>
      <c r="I25" s="325"/>
      <c r="J25" s="412"/>
      <c r="K25" s="412"/>
      <c r="L25" s="325"/>
      <c r="M25" s="325"/>
      <c r="N25" s="325"/>
      <c r="O25" s="326"/>
      <c r="P25" s="297"/>
      <c r="Q25" s="297"/>
      <c r="R25" s="297"/>
      <c r="S25" s="297"/>
      <c r="T25" s="297"/>
      <c r="U25" s="297"/>
      <c r="V25" s="297"/>
      <c r="W25" s="297"/>
      <c r="X25" s="297"/>
      <c r="Y25" s="297"/>
      <c r="Z25" s="297"/>
      <c r="AA25" s="297"/>
      <c r="AB25" s="297"/>
      <c r="AC25" s="297"/>
      <c r="AD25" s="297"/>
      <c r="AE25" s="297"/>
      <c r="AF25" s="297"/>
      <c r="AG25" s="297"/>
    </row>
    <row r="26" spans="1:33" s="395" customFormat="1" ht="15" customHeight="1">
      <c r="A26" s="302"/>
      <c r="B26" s="408" t="s">
        <v>1547</v>
      </c>
      <c r="C26" s="410">
        <f>Eriheited!C170</f>
        <v>1.4605541622441545E-3</v>
      </c>
      <c r="D26" s="410">
        <f>Eriheited!D170</f>
        <v>7.3027708112207725E-4</v>
      </c>
      <c r="E26" s="409"/>
      <c r="F26" s="390" t="s">
        <v>2018</v>
      </c>
      <c r="G26" s="411" t="s">
        <v>352</v>
      </c>
      <c r="H26" s="412"/>
      <c r="I26" s="325"/>
      <c r="J26" s="412"/>
      <c r="K26" s="412"/>
      <c r="L26" s="325"/>
      <c r="M26" s="325"/>
      <c r="N26" s="325"/>
      <c r="O26" s="326"/>
      <c r="P26" s="297"/>
      <c r="Q26" s="297"/>
      <c r="R26" s="297"/>
      <c r="S26" s="297"/>
      <c r="T26" s="297"/>
      <c r="U26" s="297"/>
      <c r="V26" s="297"/>
      <c r="W26" s="297"/>
      <c r="X26" s="297"/>
      <c r="Y26" s="297"/>
      <c r="Z26" s="297"/>
      <c r="AA26" s="297"/>
      <c r="AB26" s="297"/>
      <c r="AC26" s="297"/>
      <c r="AD26" s="297"/>
      <c r="AE26" s="297"/>
      <c r="AF26" s="297"/>
      <c r="AG26" s="297"/>
    </row>
    <row r="27" spans="1:33" s="395" customFormat="1" ht="15" customHeight="1">
      <c r="A27" s="302"/>
      <c r="B27" s="408" t="s">
        <v>1546</v>
      </c>
      <c r="C27" s="409"/>
      <c r="D27" s="409"/>
      <c r="E27" s="460">
        <f>Eriheited!E171</f>
        <v>0.49614026454015958</v>
      </c>
      <c r="F27" s="390" t="s">
        <v>2017</v>
      </c>
      <c r="G27" s="411" t="s">
        <v>351</v>
      </c>
      <c r="H27" s="412"/>
      <c r="I27" s="325"/>
      <c r="J27" s="412"/>
      <c r="K27" s="412"/>
      <c r="L27" s="325"/>
      <c r="M27" s="325"/>
      <c r="N27" s="325"/>
      <c r="O27" s="326"/>
    </row>
    <row r="28" spans="1:33" s="395" customFormat="1" ht="15" customHeight="1">
      <c r="A28" s="302"/>
      <c r="B28" s="408" t="s">
        <v>1545</v>
      </c>
      <c r="C28" s="410">
        <f>Eriheited!C172</f>
        <v>0.11025339212003546</v>
      </c>
      <c r="D28" s="410">
        <f>Eriheited!D172</f>
        <v>5.512669606001773E-2</v>
      </c>
      <c r="E28" s="409"/>
      <c r="F28" s="390" t="s">
        <v>2018</v>
      </c>
      <c r="G28" s="411" t="s">
        <v>352</v>
      </c>
      <c r="H28" s="412"/>
      <c r="I28" s="325"/>
      <c r="J28" s="412"/>
      <c r="K28" s="412"/>
      <c r="L28" s="325"/>
      <c r="M28" s="325"/>
      <c r="N28" s="325"/>
      <c r="O28" s="326"/>
    </row>
    <row r="29" spans="1:33" s="395" customFormat="1" ht="15" customHeight="1">
      <c r="A29" s="302"/>
      <c r="B29" s="408" t="s">
        <v>1540</v>
      </c>
      <c r="C29" s="409"/>
      <c r="D29" s="409"/>
      <c r="E29" s="410">
        <f>Eriheited!E173</f>
        <v>3.5772609010905357E-2</v>
      </c>
      <c r="F29" s="390" t="s">
        <v>2017</v>
      </c>
      <c r="G29" s="411" t="s">
        <v>351</v>
      </c>
      <c r="H29" s="412"/>
      <c r="I29" s="325"/>
      <c r="J29" s="412"/>
      <c r="K29" s="412"/>
      <c r="L29" s="325"/>
      <c r="M29" s="325"/>
      <c r="N29" s="325"/>
      <c r="O29" s="326"/>
    </row>
    <row r="30" spans="1:33" s="395" customFormat="1" ht="15" customHeight="1">
      <c r="A30" s="302"/>
      <c r="B30" s="408" t="s">
        <v>1539</v>
      </c>
      <c r="C30" s="414">
        <f>Eriheited!C174</f>
        <v>3.7655377906216166E-3</v>
      </c>
      <c r="D30" s="414">
        <f>Eriheited!D174</f>
        <v>1.8827688953108083E-3</v>
      </c>
      <c r="E30" s="409"/>
      <c r="F30" s="390" t="s">
        <v>2018</v>
      </c>
      <c r="G30" s="411" t="s">
        <v>353</v>
      </c>
      <c r="H30" s="412"/>
      <c r="I30" s="325"/>
      <c r="J30" s="412"/>
      <c r="K30" s="412"/>
      <c r="L30" s="325"/>
      <c r="M30" s="325"/>
      <c r="N30" s="325"/>
      <c r="O30" s="326"/>
    </row>
    <row r="31" spans="1:33" s="395" customFormat="1" ht="15" customHeight="1">
      <c r="A31" s="302"/>
      <c r="B31" s="408" t="s">
        <v>1542</v>
      </c>
      <c r="C31" s="409"/>
      <c r="D31" s="409"/>
      <c r="E31" s="410">
        <f>Eriheited!E175</f>
        <v>8.8179271080246029E-3</v>
      </c>
      <c r="F31" s="390" t="s">
        <v>2017</v>
      </c>
      <c r="G31" s="411" t="s">
        <v>351</v>
      </c>
      <c r="H31" s="412"/>
      <c r="I31" s="325"/>
      <c r="J31" s="412"/>
      <c r="K31" s="412"/>
      <c r="L31" s="325"/>
      <c r="M31" s="325"/>
      <c r="N31" s="325"/>
      <c r="O31" s="326"/>
      <c r="P31" s="297"/>
      <c r="Q31" s="297"/>
      <c r="R31" s="297"/>
      <c r="S31" s="297"/>
      <c r="T31" s="297"/>
      <c r="U31" s="297"/>
      <c r="V31" s="297"/>
      <c r="W31" s="297"/>
      <c r="X31" s="297"/>
      <c r="Y31" s="297"/>
      <c r="Z31" s="297"/>
      <c r="AA31" s="297"/>
      <c r="AB31" s="297"/>
      <c r="AC31" s="297"/>
      <c r="AD31" s="297"/>
      <c r="AE31" s="297"/>
      <c r="AF31" s="297"/>
      <c r="AG31" s="297"/>
    </row>
    <row r="32" spans="1:33" s="395" customFormat="1" ht="15" customHeight="1">
      <c r="A32" s="302"/>
      <c r="B32" s="408" t="s">
        <v>1541</v>
      </c>
      <c r="C32" s="414">
        <f>Eriheited!C176</f>
        <v>1.7635854216049206E-2</v>
      </c>
      <c r="D32" s="415">
        <f>Eriheited!D176</f>
        <v>4.6410142673813698E-4</v>
      </c>
      <c r="E32" s="409"/>
      <c r="F32" s="390" t="s">
        <v>2018</v>
      </c>
      <c r="G32" s="411" t="s">
        <v>353</v>
      </c>
      <c r="H32" s="412"/>
      <c r="I32" s="325"/>
      <c r="J32" s="412"/>
      <c r="K32" s="412"/>
      <c r="L32" s="325"/>
      <c r="M32" s="325"/>
      <c r="N32" s="325"/>
      <c r="O32" s="326"/>
      <c r="P32" s="297"/>
      <c r="Q32" s="297"/>
      <c r="R32" s="297"/>
      <c r="S32" s="297"/>
      <c r="T32" s="297"/>
      <c r="U32" s="297"/>
      <c r="V32" s="297"/>
      <c r="W32" s="297"/>
      <c r="X32" s="297"/>
      <c r="Y32" s="297"/>
      <c r="Z32" s="297"/>
      <c r="AA32" s="297"/>
      <c r="AB32" s="297"/>
      <c r="AC32" s="297"/>
      <c r="AD32" s="297"/>
      <c r="AE32" s="297"/>
      <c r="AF32" s="297"/>
      <c r="AG32" s="297"/>
    </row>
    <row r="33" spans="1:33" s="395" customFormat="1" ht="15" customHeight="1">
      <c r="A33" s="297"/>
      <c r="B33" s="408" t="s">
        <v>1544</v>
      </c>
      <c r="C33" s="409"/>
      <c r="D33" s="409"/>
      <c r="E33" s="460">
        <f>Eriheited!E177</f>
        <v>0.66564212424215952</v>
      </c>
      <c r="F33" s="390" t="s">
        <v>2017</v>
      </c>
      <c r="G33" s="411" t="s">
        <v>351</v>
      </c>
      <c r="H33" s="412"/>
      <c r="I33" s="325"/>
      <c r="J33" s="412"/>
      <c r="K33" s="412"/>
      <c r="L33" s="325"/>
      <c r="M33" s="325"/>
      <c r="N33" s="325"/>
      <c r="O33" s="326"/>
    </row>
    <row r="34" spans="1:33" s="395" customFormat="1" ht="15" customHeight="1">
      <c r="A34" s="302"/>
      <c r="B34" s="408" t="s">
        <v>1543</v>
      </c>
      <c r="C34" s="414">
        <f>Eriheited!C178</f>
        <v>7.0067592025490469E-2</v>
      </c>
      <c r="D34" s="414">
        <f>Eriheited!D178</f>
        <v>3.5033796012745234E-2</v>
      </c>
      <c r="E34" s="409"/>
      <c r="F34" s="390" t="s">
        <v>2018</v>
      </c>
      <c r="G34" s="411" t="s">
        <v>353</v>
      </c>
      <c r="H34" s="412"/>
      <c r="I34" s="325"/>
      <c r="J34" s="412"/>
      <c r="K34" s="412"/>
      <c r="L34" s="325"/>
      <c r="M34" s="325"/>
      <c r="N34" s="325"/>
      <c r="O34" s="326"/>
    </row>
    <row r="35" spans="1:33" s="395" customFormat="1" ht="15" customHeight="1">
      <c r="A35" s="302"/>
      <c r="B35" s="408" t="s">
        <v>1611</v>
      </c>
      <c r="C35" s="409"/>
      <c r="D35" s="409"/>
      <c r="E35" s="410">
        <f>Eriheited!E179</f>
        <v>2.621966487352342E-2</v>
      </c>
      <c r="F35" s="390" t="s">
        <v>2017</v>
      </c>
      <c r="G35" s="337" t="s">
        <v>2345</v>
      </c>
      <c r="H35" s="412"/>
      <c r="I35" s="325"/>
      <c r="J35" s="412"/>
      <c r="K35" s="412"/>
      <c r="L35" s="325"/>
      <c r="M35" s="325"/>
      <c r="N35" s="325"/>
      <c r="O35" s="326"/>
    </row>
    <row r="36" spans="1:33" s="395" customFormat="1" ht="15" customHeight="1">
      <c r="A36" s="302"/>
      <c r="B36" s="408" t="s">
        <v>1612</v>
      </c>
      <c r="C36" s="414">
        <f>Eriheited!C180</f>
        <v>6.3203472613882752E-3</v>
      </c>
      <c r="D36" s="414">
        <f>Eriheited!D180</f>
        <v>3.1601736306941376E-3</v>
      </c>
      <c r="E36" s="409"/>
      <c r="F36" s="390" t="s">
        <v>2018</v>
      </c>
      <c r="G36" s="337" t="s">
        <v>2345</v>
      </c>
      <c r="H36" s="412"/>
      <c r="I36" s="325"/>
      <c r="J36" s="412"/>
      <c r="K36" s="412"/>
      <c r="L36" s="325"/>
      <c r="M36" s="325"/>
      <c r="N36" s="325"/>
      <c r="O36" s="326"/>
    </row>
    <row r="37" spans="1:33" s="395" customFormat="1" ht="15" customHeight="1">
      <c r="A37" s="302"/>
      <c r="B37" s="408" t="s">
        <v>1613</v>
      </c>
      <c r="C37" s="409"/>
      <c r="D37" s="409"/>
      <c r="E37" s="410">
        <f>Eriheited!E181</f>
        <v>6.4631319896482778E-3</v>
      </c>
      <c r="F37" s="390" t="s">
        <v>2017</v>
      </c>
      <c r="G37" s="337" t="s">
        <v>2346</v>
      </c>
      <c r="H37" s="412"/>
      <c r="I37" s="325"/>
      <c r="J37" s="412"/>
      <c r="K37" s="412"/>
      <c r="L37" s="457"/>
      <c r="M37" s="325"/>
      <c r="N37" s="325"/>
      <c r="O37" s="326"/>
      <c r="P37" s="297"/>
      <c r="Q37" s="297"/>
      <c r="R37" s="297"/>
      <c r="S37" s="297"/>
      <c r="T37" s="297"/>
      <c r="U37" s="297"/>
      <c r="V37" s="297"/>
      <c r="W37" s="297"/>
      <c r="X37" s="297"/>
      <c r="Y37" s="297"/>
      <c r="Z37" s="297"/>
      <c r="AA37" s="297"/>
      <c r="AB37" s="297"/>
      <c r="AC37" s="297"/>
      <c r="AD37" s="297"/>
      <c r="AE37" s="297"/>
      <c r="AF37" s="297"/>
      <c r="AG37" s="297"/>
    </row>
    <row r="38" spans="1:33" s="395" customFormat="1" ht="15" customHeight="1">
      <c r="A38" s="302"/>
      <c r="B38" s="408" t="s">
        <v>1614</v>
      </c>
      <c r="C38" s="414">
        <f>Eriheited!C182</f>
        <v>7.1271790081590307E-3</v>
      </c>
      <c r="D38" s="414">
        <f>Eriheited!D182</f>
        <v>7.789809436506938E-4</v>
      </c>
      <c r="E38" s="409"/>
      <c r="F38" s="390" t="s">
        <v>2018</v>
      </c>
      <c r="G38" s="337" t="s">
        <v>2346</v>
      </c>
      <c r="H38" s="412"/>
      <c r="I38" s="325"/>
      <c r="J38" s="412"/>
      <c r="K38" s="412"/>
      <c r="L38" s="325"/>
      <c r="M38" s="325"/>
      <c r="N38" s="325"/>
      <c r="O38" s="326"/>
      <c r="P38" s="297"/>
      <c r="Q38" s="297"/>
      <c r="R38" s="297"/>
      <c r="S38" s="297"/>
      <c r="T38" s="297"/>
      <c r="U38" s="297"/>
      <c r="V38" s="297"/>
      <c r="W38" s="297"/>
      <c r="X38" s="297"/>
      <c r="Y38" s="297"/>
      <c r="Z38" s="297"/>
      <c r="AA38" s="297"/>
      <c r="AB38" s="297"/>
      <c r="AC38" s="297"/>
      <c r="AD38" s="297"/>
      <c r="AE38" s="297"/>
      <c r="AF38" s="297"/>
      <c r="AG38" s="297"/>
    </row>
    <row r="39" spans="1:33" s="395" customFormat="1" ht="15" customHeight="1">
      <c r="A39" s="302"/>
      <c r="B39" s="408" t="s">
        <v>1615</v>
      </c>
      <c r="C39" s="409"/>
      <c r="D39" s="409"/>
      <c r="E39" s="414">
        <f>Eriheited!E183</f>
        <v>0.4878848343996689</v>
      </c>
      <c r="F39" s="390" t="s">
        <v>2017</v>
      </c>
      <c r="G39" s="337" t="s">
        <v>2347</v>
      </c>
      <c r="H39" s="412"/>
      <c r="I39" s="325"/>
      <c r="J39" s="412"/>
      <c r="K39" s="412"/>
      <c r="L39" s="325"/>
      <c r="M39" s="325"/>
      <c r="N39" s="325"/>
      <c r="O39" s="326"/>
    </row>
    <row r="40" spans="1:33" s="395" customFormat="1" ht="15" customHeight="1">
      <c r="A40" s="302"/>
      <c r="B40" s="408" t="s">
        <v>1616</v>
      </c>
      <c r="C40" s="414">
        <f>Eriheited!C184</f>
        <v>0.11760644508025865</v>
      </c>
      <c r="D40" s="414">
        <f>Eriheited!D184</f>
        <v>5.8803222540129325E-2</v>
      </c>
      <c r="E40" s="409"/>
      <c r="F40" s="390" t="s">
        <v>2018</v>
      </c>
      <c r="G40" s="337" t="s">
        <v>2347</v>
      </c>
      <c r="H40" s="412"/>
      <c r="I40" s="325"/>
      <c r="J40" s="412"/>
      <c r="K40" s="412"/>
      <c r="L40" s="325"/>
      <c r="M40" s="325"/>
      <c r="N40" s="325"/>
      <c r="O40" s="326"/>
    </row>
    <row r="41" spans="1:33" s="395" customFormat="1" ht="15" customHeight="1">
      <c r="A41" s="302"/>
      <c r="B41" s="416" t="s">
        <v>1538</v>
      </c>
      <c r="C41" s="409"/>
      <c r="D41" s="409"/>
      <c r="E41" s="410">
        <f>Eriheited!E185</f>
        <v>1.6223061502632429E-2</v>
      </c>
      <c r="F41" s="390" t="s">
        <v>2017</v>
      </c>
      <c r="G41" s="411" t="s">
        <v>351</v>
      </c>
      <c r="H41" s="412"/>
      <c r="I41" s="325"/>
      <c r="J41" s="412"/>
      <c r="K41" s="412"/>
      <c r="L41" s="325"/>
      <c r="M41" s="325"/>
      <c r="N41" s="325"/>
      <c r="O41" s="326"/>
      <c r="P41" s="297"/>
      <c r="Q41" s="297"/>
      <c r="R41" s="297"/>
      <c r="S41" s="297"/>
      <c r="T41" s="297"/>
      <c r="U41" s="297"/>
      <c r="V41" s="297"/>
      <c r="W41" s="297"/>
      <c r="X41" s="297"/>
      <c r="Y41" s="297"/>
      <c r="Z41" s="297"/>
      <c r="AA41" s="297"/>
      <c r="AB41" s="297"/>
      <c r="AC41" s="297"/>
      <c r="AD41" s="297"/>
      <c r="AE41" s="297"/>
      <c r="AF41" s="297"/>
      <c r="AG41" s="297"/>
    </row>
    <row r="42" spans="1:33" s="395" customFormat="1" ht="15" customHeight="1">
      <c r="A42" s="302"/>
      <c r="B42" s="416" t="s">
        <v>1537</v>
      </c>
      <c r="C42" s="410">
        <f>Eriheited!C186</f>
        <v>9.2703208586471016E-3</v>
      </c>
      <c r="D42" s="410">
        <f>Eriheited!D186</f>
        <v>4.6351604293235508E-3</v>
      </c>
      <c r="E42" s="409"/>
      <c r="F42" s="390" t="s">
        <v>2018</v>
      </c>
      <c r="G42" s="411" t="s">
        <v>350</v>
      </c>
      <c r="H42" s="412"/>
      <c r="I42" s="325"/>
      <c r="J42" s="412"/>
      <c r="K42" s="412"/>
      <c r="L42" s="325"/>
      <c r="M42" s="325"/>
      <c r="N42" s="325"/>
      <c r="O42" s="326"/>
      <c r="P42" s="297"/>
      <c r="Q42" s="297"/>
      <c r="R42" s="297"/>
      <c r="S42" s="297"/>
      <c r="T42" s="297"/>
      <c r="U42" s="297"/>
      <c r="V42" s="297"/>
      <c r="W42" s="297"/>
      <c r="X42" s="297"/>
      <c r="Y42" s="297"/>
      <c r="Z42" s="297"/>
      <c r="AA42" s="297"/>
      <c r="AB42" s="297"/>
      <c r="AC42" s="297"/>
      <c r="AD42" s="297"/>
      <c r="AE42" s="297"/>
      <c r="AF42" s="297"/>
      <c r="AG42" s="297"/>
    </row>
    <row r="43" spans="1:33" s="395" customFormat="1" ht="15" customHeight="1">
      <c r="A43" s="302"/>
      <c r="B43" s="416" t="s">
        <v>1536</v>
      </c>
      <c r="C43" s="409"/>
      <c r="D43" s="409"/>
      <c r="E43" s="410">
        <f>Eriheited!E187</f>
        <v>3.9989751308215351E-3</v>
      </c>
      <c r="F43" s="390" t="s">
        <v>2017</v>
      </c>
      <c r="G43" s="411" t="s">
        <v>351</v>
      </c>
      <c r="H43" s="412"/>
      <c r="I43" s="325"/>
      <c r="J43" s="412"/>
      <c r="K43" s="412"/>
      <c r="L43" s="325"/>
      <c r="M43" s="325"/>
      <c r="N43" s="325"/>
      <c r="O43" s="326"/>
      <c r="P43" s="297"/>
      <c r="Q43" s="297"/>
      <c r="R43" s="297"/>
      <c r="S43" s="297"/>
      <c r="T43" s="297"/>
      <c r="U43" s="297"/>
      <c r="V43" s="297"/>
      <c r="W43" s="297"/>
      <c r="X43" s="297"/>
      <c r="Y43" s="297"/>
      <c r="Z43" s="297"/>
      <c r="AA43" s="297"/>
      <c r="AB43" s="297"/>
      <c r="AC43" s="297"/>
      <c r="AD43" s="297"/>
      <c r="AE43" s="297"/>
      <c r="AF43" s="297"/>
      <c r="AG43" s="297"/>
    </row>
    <row r="44" spans="1:33" s="395" customFormat="1" ht="15" customHeight="1">
      <c r="A44" s="302"/>
      <c r="B44" s="416" t="s">
        <v>1535</v>
      </c>
      <c r="C44" s="410">
        <f>Eriheited!C188</f>
        <v>2.2851286461837345E-3</v>
      </c>
      <c r="D44" s="410">
        <f>Eriheited!D188</f>
        <v>1.1425643230918673E-3</v>
      </c>
      <c r="E44" s="409"/>
      <c r="F44" s="390" t="s">
        <v>2018</v>
      </c>
      <c r="G44" s="411" t="s">
        <v>350</v>
      </c>
      <c r="H44" s="412"/>
      <c r="I44" s="325"/>
      <c r="J44" s="412"/>
      <c r="K44" s="412"/>
      <c r="L44" s="325"/>
      <c r="M44" s="325"/>
      <c r="N44" s="325"/>
      <c r="O44" s="326"/>
      <c r="P44" s="297"/>
      <c r="Q44" s="297"/>
      <c r="R44" s="297"/>
      <c r="S44" s="297"/>
      <c r="T44" s="297"/>
      <c r="U44" s="297"/>
      <c r="V44" s="297"/>
      <c r="W44" s="297"/>
      <c r="X44" s="297"/>
      <c r="Y44" s="297"/>
      <c r="Z44" s="297"/>
      <c r="AA44" s="297"/>
      <c r="AB44" s="297"/>
      <c r="AC44" s="297"/>
      <c r="AD44" s="297"/>
      <c r="AE44" s="297"/>
      <c r="AF44" s="297"/>
      <c r="AG44" s="297"/>
    </row>
    <row r="45" spans="1:33" s="395" customFormat="1" ht="15" customHeight="1">
      <c r="A45" s="302"/>
      <c r="B45" s="416" t="s">
        <v>1534</v>
      </c>
      <c r="C45" s="409"/>
      <c r="D45" s="409"/>
      <c r="E45" s="460">
        <f>Eriheited!E189</f>
        <v>0.30187211441668765</v>
      </c>
      <c r="F45" s="390" t="s">
        <v>2017</v>
      </c>
      <c r="G45" s="411" t="s">
        <v>351</v>
      </c>
      <c r="H45" s="412"/>
      <c r="I45" s="325"/>
      <c r="J45" s="412"/>
      <c r="K45" s="412"/>
      <c r="L45" s="325"/>
      <c r="M45" s="325"/>
      <c r="N45" s="325"/>
      <c r="O45" s="326"/>
    </row>
    <row r="46" spans="1:33" s="395" customFormat="1" ht="15" customHeight="1">
      <c r="A46" s="302"/>
      <c r="B46" s="416" t="s">
        <v>1533</v>
      </c>
      <c r="C46" s="410">
        <f>Eriheited!C190</f>
        <v>0.17249835109525008</v>
      </c>
      <c r="D46" s="410">
        <f>Eriheited!D190</f>
        <v>8.624917554762504E-2</v>
      </c>
      <c r="E46" s="409"/>
      <c r="F46" s="390" t="s">
        <v>2018</v>
      </c>
      <c r="G46" s="411" t="s">
        <v>350</v>
      </c>
      <c r="H46" s="412"/>
      <c r="I46" s="325"/>
      <c r="J46" s="412"/>
      <c r="K46" s="412"/>
      <c r="L46" s="325"/>
      <c r="M46" s="325"/>
      <c r="N46" s="325"/>
      <c r="O46" s="326"/>
    </row>
    <row r="47" spans="1:33" s="395" customFormat="1" ht="15" customHeight="1">
      <c r="A47" s="302"/>
      <c r="B47" s="297"/>
      <c r="C47" s="297"/>
      <c r="D47" s="297"/>
      <c r="E47" s="297"/>
      <c r="F47" s="297"/>
      <c r="G47" s="297"/>
      <c r="H47" s="297"/>
      <c r="I47" s="297"/>
      <c r="J47" s="297"/>
      <c r="M47" s="297"/>
      <c r="N47" s="297"/>
      <c r="O47" s="297"/>
      <c r="P47" s="297"/>
    </row>
    <row r="48" spans="1:33" s="395" customFormat="1" ht="15" customHeight="1">
      <c r="A48" s="302"/>
      <c r="B48" s="297"/>
      <c r="C48" s="297"/>
      <c r="D48" s="297"/>
      <c r="E48" s="297"/>
      <c r="F48" s="297"/>
      <c r="G48" s="297"/>
      <c r="H48" s="297"/>
      <c r="I48" s="297"/>
      <c r="J48" s="297"/>
      <c r="M48" s="297"/>
      <c r="N48" s="297"/>
      <c r="O48" s="297"/>
      <c r="P48" s="297"/>
    </row>
    <row r="49" spans="1:34" s="395" customFormat="1" ht="15" customHeight="1">
      <c r="A49" s="302"/>
      <c r="B49" s="991" t="s">
        <v>1844</v>
      </c>
      <c r="C49" s="988" t="s">
        <v>126</v>
      </c>
      <c r="D49" s="989"/>
      <c r="E49" s="990"/>
      <c r="F49" s="402" t="s">
        <v>81</v>
      </c>
      <c r="G49" s="403" t="s">
        <v>142</v>
      </c>
      <c r="H49" s="404"/>
      <c r="I49" s="404"/>
      <c r="J49" s="417"/>
      <c r="K49" s="417"/>
      <c r="L49" s="417"/>
      <c r="M49" s="417"/>
      <c r="N49" s="417"/>
      <c r="O49" s="417"/>
      <c r="P49" s="417"/>
      <c r="Q49" s="417"/>
      <c r="R49" s="418"/>
    </row>
    <row r="50" spans="1:34" s="395" customFormat="1" ht="15" customHeight="1">
      <c r="A50" s="302"/>
      <c r="B50" s="992"/>
      <c r="C50" s="405" t="s">
        <v>347</v>
      </c>
      <c r="D50" s="406" t="s">
        <v>348</v>
      </c>
      <c r="E50" s="405" t="s">
        <v>349</v>
      </c>
      <c r="F50" s="357"/>
      <c r="G50" s="357"/>
      <c r="H50" s="407"/>
      <c r="I50" s="407"/>
      <c r="J50" s="419"/>
      <c r="K50" s="419"/>
      <c r="L50" s="419"/>
      <c r="M50" s="419"/>
      <c r="N50" s="419"/>
      <c r="O50" s="419"/>
      <c r="P50" s="419"/>
      <c r="Q50" s="419"/>
      <c r="R50" s="420"/>
    </row>
    <row r="51" spans="1:34" s="395" customFormat="1" ht="15" customHeight="1">
      <c r="A51" s="302"/>
      <c r="B51" s="408" t="s">
        <v>1601</v>
      </c>
      <c r="C51" s="409"/>
      <c r="D51" s="409"/>
      <c r="E51" s="410">
        <f>Eriheited!E195</f>
        <v>3.1050980721290953E-2</v>
      </c>
      <c r="F51" s="390" t="s">
        <v>2017</v>
      </c>
      <c r="G51" s="411" t="s">
        <v>355</v>
      </c>
      <c r="H51" s="412"/>
      <c r="I51" s="325"/>
      <c r="J51" s="412"/>
      <c r="K51" s="412"/>
      <c r="L51" s="412"/>
      <c r="M51" s="325"/>
      <c r="N51" s="325"/>
      <c r="O51" s="325"/>
      <c r="P51" s="325"/>
      <c r="Q51" s="412"/>
      <c r="R51" s="421"/>
    </row>
    <row r="52" spans="1:34" s="395" customFormat="1" ht="15" customHeight="1">
      <c r="A52" s="302"/>
      <c r="B52" s="408" t="s">
        <v>1600</v>
      </c>
      <c r="C52" s="414">
        <f>Eriheited!C196</f>
        <v>2.4840784577032761E-3</v>
      </c>
      <c r="D52" s="414">
        <f>Eriheited!D196</f>
        <v>1.2420392288516381E-3</v>
      </c>
      <c r="E52" s="409"/>
      <c r="F52" s="390" t="s">
        <v>2018</v>
      </c>
      <c r="G52" s="411" t="s">
        <v>354</v>
      </c>
      <c r="H52" s="412"/>
      <c r="I52" s="325"/>
      <c r="J52" s="412"/>
      <c r="K52" s="412"/>
      <c r="L52" s="412"/>
      <c r="M52" s="325"/>
      <c r="N52" s="325"/>
      <c r="O52" s="325"/>
      <c r="P52" s="325"/>
      <c r="Q52" s="412"/>
      <c r="R52" s="421"/>
    </row>
    <row r="53" spans="1:34" s="395" customFormat="1" ht="15" customHeight="1">
      <c r="A53" s="302"/>
      <c r="B53" s="408" t="s">
        <v>1602</v>
      </c>
      <c r="C53" s="409"/>
      <c r="D53" s="409"/>
      <c r="E53" s="410">
        <f>Eriheited!E197</f>
        <v>7.6540485081630681E-3</v>
      </c>
      <c r="F53" s="390" t="s">
        <v>2017</v>
      </c>
      <c r="G53" s="411" t="s">
        <v>355</v>
      </c>
      <c r="H53" s="412"/>
      <c r="I53" s="325"/>
      <c r="J53" s="412"/>
      <c r="K53" s="412"/>
      <c r="L53" s="412"/>
      <c r="M53" s="325"/>
      <c r="N53" s="325"/>
      <c r="O53" s="325"/>
      <c r="P53" s="325"/>
      <c r="Q53" s="325"/>
      <c r="R53" s="326"/>
      <c r="S53" s="297"/>
      <c r="T53" s="297"/>
      <c r="U53" s="297"/>
      <c r="V53" s="297"/>
      <c r="W53" s="297"/>
      <c r="X53" s="297"/>
      <c r="Y53" s="297"/>
      <c r="Z53" s="297"/>
      <c r="AA53" s="297"/>
      <c r="AB53" s="297"/>
      <c r="AC53" s="297"/>
      <c r="AD53" s="297"/>
      <c r="AE53" s="297"/>
      <c r="AF53" s="297"/>
      <c r="AG53" s="297"/>
      <c r="AH53" s="297"/>
    </row>
    <row r="54" spans="1:34" s="395" customFormat="1" ht="15" customHeight="1">
      <c r="A54" s="302"/>
      <c r="B54" s="408" t="s">
        <v>1603</v>
      </c>
      <c r="C54" s="414">
        <f>Eriheited!C198</f>
        <v>6.123238806530454E-4</v>
      </c>
      <c r="D54" s="415">
        <f>Eriheited!D198</f>
        <v>3.061619403265227E-4</v>
      </c>
      <c r="E54" s="409"/>
      <c r="F54" s="390" t="s">
        <v>2018</v>
      </c>
      <c r="G54" s="411" t="s">
        <v>354</v>
      </c>
      <c r="H54" s="412"/>
      <c r="I54" s="325"/>
      <c r="J54" s="412"/>
      <c r="K54" s="412"/>
      <c r="L54" s="412"/>
      <c r="M54" s="325"/>
      <c r="N54" s="325"/>
      <c r="O54" s="325"/>
      <c r="P54" s="325"/>
      <c r="Q54" s="325"/>
      <c r="R54" s="326"/>
      <c r="S54" s="297"/>
      <c r="T54" s="297"/>
      <c r="U54" s="297"/>
      <c r="V54" s="297"/>
      <c r="W54" s="297"/>
      <c r="X54" s="297"/>
      <c r="Y54" s="297"/>
      <c r="Z54" s="297"/>
      <c r="AA54" s="297"/>
      <c r="AB54" s="297"/>
      <c r="AC54" s="297"/>
      <c r="AD54" s="297"/>
      <c r="AE54" s="297"/>
      <c r="AF54" s="297"/>
      <c r="AG54" s="297"/>
      <c r="AH54" s="297"/>
    </row>
    <row r="55" spans="1:34" s="395" customFormat="1" ht="15" customHeight="1">
      <c r="A55" s="302"/>
      <c r="B55" s="408" t="s">
        <v>1606</v>
      </c>
      <c r="C55" s="409"/>
      <c r="D55" s="409"/>
      <c r="E55" s="460">
        <f>Eriheited!E199</f>
        <v>0.57778399000256075</v>
      </c>
      <c r="F55" s="390" t="s">
        <v>2017</v>
      </c>
      <c r="G55" s="411" t="s">
        <v>355</v>
      </c>
      <c r="H55" s="412"/>
      <c r="I55" s="325"/>
      <c r="J55" s="412"/>
      <c r="K55" s="412"/>
      <c r="L55" s="412"/>
      <c r="M55" s="325"/>
      <c r="N55" s="325"/>
      <c r="O55" s="325"/>
      <c r="P55" s="325"/>
      <c r="Q55" s="412"/>
      <c r="R55" s="421"/>
    </row>
    <row r="56" spans="1:34" s="395" customFormat="1" ht="15" customHeight="1">
      <c r="A56" s="302"/>
      <c r="B56" s="408" t="s">
        <v>1607</v>
      </c>
      <c r="C56" s="414">
        <f>Eriheited!C200</f>
        <v>4.6222719200204862E-2</v>
      </c>
      <c r="D56" s="414">
        <f>Eriheited!D200</f>
        <v>2.3111359600102431E-2</v>
      </c>
      <c r="E56" s="409"/>
      <c r="F56" s="390" t="s">
        <v>2018</v>
      </c>
      <c r="G56" s="411" t="s">
        <v>354</v>
      </c>
      <c r="H56" s="412"/>
      <c r="I56" s="325"/>
      <c r="J56" s="412"/>
      <c r="K56" s="412"/>
      <c r="L56" s="412"/>
      <c r="M56" s="325"/>
      <c r="N56" s="325"/>
      <c r="O56" s="325"/>
      <c r="P56" s="325"/>
      <c r="Q56" s="412"/>
      <c r="R56" s="421"/>
    </row>
    <row r="57" spans="1:34" s="395" customFormat="1" ht="15" customHeight="1">
      <c r="A57" s="302"/>
      <c r="B57" s="408" t="s">
        <v>1598</v>
      </c>
      <c r="C57" s="409"/>
      <c r="D57" s="409"/>
      <c r="E57" s="410">
        <f>Eriheited!E201</f>
        <v>4.0130159571371928E-2</v>
      </c>
      <c r="F57" s="390" t="s">
        <v>2017</v>
      </c>
      <c r="G57" s="411" t="s">
        <v>357</v>
      </c>
      <c r="H57" s="412"/>
      <c r="I57" s="325"/>
      <c r="J57" s="412"/>
      <c r="K57" s="412"/>
      <c r="L57" s="412"/>
      <c r="M57" s="325"/>
      <c r="N57" s="325"/>
      <c r="O57" s="325"/>
      <c r="P57" s="325"/>
      <c r="Q57" s="412"/>
      <c r="R57" s="421"/>
    </row>
    <row r="58" spans="1:34" s="395" customFormat="1" ht="15" customHeight="1">
      <c r="A58" s="302"/>
      <c r="B58" s="408" t="s">
        <v>1599</v>
      </c>
      <c r="C58" s="414">
        <f>Eriheited!C202</f>
        <v>2.0065079785685962E-3</v>
      </c>
      <c r="D58" s="414">
        <f>Eriheited!D202</f>
        <v>1.0032539892842981E-3</v>
      </c>
      <c r="E58" s="409"/>
      <c r="F58" s="390" t="s">
        <v>2018</v>
      </c>
      <c r="G58" s="411" t="s">
        <v>356</v>
      </c>
      <c r="H58" s="412"/>
      <c r="I58" s="325"/>
      <c r="J58" s="412"/>
      <c r="K58" s="412"/>
      <c r="L58" s="412"/>
      <c r="M58" s="325"/>
      <c r="N58" s="325"/>
      <c r="O58" s="325"/>
      <c r="P58" s="325"/>
      <c r="Q58" s="412"/>
      <c r="R58" s="421"/>
    </row>
    <row r="59" spans="1:34" s="395" customFormat="1" ht="15" customHeight="1">
      <c r="A59" s="297"/>
      <c r="B59" s="408" t="s">
        <v>1604</v>
      </c>
      <c r="C59" s="409"/>
      <c r="D59" s="409"/>
      <c r="E59" s="410">
        <f>Eriheited!E203</f>
        <v>9.8920607615138462E-3</v>
      </c>
      <c r="F59" s="390" t="s">
        <v>2017</v>
      </c>
      <c r="G59" s="411" t="s">
        <v>357</v>
      </c>
      <c r="H59" s="412"/>
      <c r="I59" s="325"/>
      <c r="J59" s="412"/>
      <c r="K59" s="412"/>
      <c r="L59" s="412"/>
      <c r="M59" s="325"/>
      <c r="N59" s="325"/>
      <c r="O59" s="325"/>
      <c r="P59" s="325"/>
      <c r="Q59" s="325"/>
      <c r="R59" s="326"/>
      <c r="S59" s="297"/>
      <c r="T59" s="297"/>
      <c r="U59" s="297"/>
      <c r="V59" s="297"/>
      <c r="W59" s="297"/>
      <c r="X59" s="297"/>
      <c r="Y59" s="297"/>
      <c r="Z59" s="297"/>
      <c r="AA59" s="297"/>
      <c r="AB59" s="297"/>
      <c r="AC59" s="297"/>
      <c r="AD59" s="297"/>
      <c r="AE59" s="297"/>
      <c r="AF59" s="297"/>
      <c r="AG59" s="297"/>
      <c r="AH59" s="297"/>
    </row>
    <row r="60" spans="1:34" s="395" customFormat="1" ht="15" customHeight="1">
      <c r="A60" s="297"/>
      <c r="B60" s="408" t="s">
        <v>1605</v>
      </c>
      <c r="C60" s="415">
        <f>Eriheited!C204</f>
        <v>4.9460303807569227E-4</v>
      </c>
      <c r="D60" s="415">
        <f>Eriheited!D204</f>
        <v>2.4730151903784613E-4</v>
      </c>
      <c r="E60" s="409"/>
      <c r="F60" s="390" t="s">
        <v>2018</v>
      </c>
      <c r="G60" s="411" t="s">
        <v>356</v>
      </c>
      <c r="H60" s="412"/>
      <c r="I60" s="325"/>
      <c r="J60" s="412"/>
      <c r="K60" s="412"/>
      <c r="L60" s="412"/>
      <c r="M60" s="325"/>
      <c r="N60" s="325"/>
      <c r="O60" s="325"/>
      <c r="P60" s="325"/>
      <c r="Q60" s="325"/>
      <c r="R60" s="326"/>
      <c r="S60" s="297"/>
      <c r="T60" s="297"/>
      <c r="U60" s="297"/>
      <c r="V60" s="297"/>
      <c r="W60" s="297"/>
      <c r="X60" s="297"/>
      <c r="Y60" s="297"/>
      <c r="Z60" s="297"/>
      <c r="AA60" s="297"/>
      <c r="AB60" s="297"/>
      <c r="AC60" s="297"/>
      <c r="AD60" s="297"/>
      <c r="AE60" s="297"/>
      <c r="AF60" s="297"/>
      <c r="AG60" s="297"/>
      <c r="AH60" s="297"/>
    </row>
    <row r="61" spans="1:34" s="395" customFormat="1" ht="15" customHeight="1">
      <c r="A61" s="302"/>
      <c r="B61" s="408" t="s">
        <v>1608</v>
      </c>
      <c r="C61" s="409"/>
      <c r="D61" s="409"/>
      <c r="E61" s="460">
        <f>Eriheited!E205</f>
        <v>0.74672564852962031</v>
      </c>
      <c r="F61" s="390" t="s">
        <v>2017</v>
      </c>
      <c r="G61" s="411" t="s">
        <v>357</v>
      </c>
      <c r="H61" s="412"/>
      <c r="I61" s="325"/>
      <c r="J61" s="412"/>
      <c r="K61" s="412"/>
      <c r="L61" s="412"/>
      <c r="M61" s="325"/>
      <c r="N61" s="325"/>
      <c r="O61" s="325"/>
      <c r="P61" s="325"/>
      <c r="Q61" s="412"/>
      <c r="R61" s="421"/>
    </row>
    <row r="62" spans="1:34" s="395" customFormat="1" ht="15" customHeight="1">
      <c r="A62" s="302"/>
      <c r="B62" s="408" t="s">
        <v>1609</v>
      </c>
      <c r="C62" s="414">
        <f>Eriheited!C206</f>
        <v>3.7336282426481016E-2</v>
      </c>
      <c r="D62" s="414">
        <f>Eriheited!D206</f>
        <v>1.8668141213240508E-2</v>
      </c>
      <c r="E62" s="409"/>
      <c r="F62" s="390" t="s">
        <v>2018</v>
      </c>
      <c r="G62" s="411" t="s">
        <v>356</v>
      </c>
      <c r="H62" s="412"/>
      <c r="I62" s="325"/>
      <c r="J62" s="412"/>
      <c r="K62" s="412"/>
      <c r="L62" s="412"/>
      <c r="M62" s="325"/>
      <c r="N62" s="325"/>
      <c r="O62" s="325"/>
      <c r="P62" s="325"/>
      <c r="Q62" s="412"/>
      <c r="R62" s="421"/>
    </row>
    <row r="63" spans="1:34" s="395" customFormat="1" ht="15" customHeight="1">
      <c r="A63" s="302"/>
      <c r="B63" s="408" t="s">
        <v>1611</v>
      </c>
      <c r="C63" s="409"/>
      <c r="D63" s="409"/>
      <c r="E63" s="410">
        <f>Eriheited!E207</f>
        <v>3.5590570146331435E-2</v>
      </c>
      <c r="F63" s="390" t="s">
        <v>2017</v>
      </c>
      <c r="G63" s="411" t="s">
        <v>1922</v>
      </c>
      <c r="H63" s="412"/>
      <c r="I63" s="325"/>
      <c r="J63" s="412"/>
      <c r="K63" s="412"/>
      <c r="L63" s="412"/>
      <c r="M63" s="325"/>
      <c r="N63" s="325"/>
      <c r="O63" s="325"/>
      <c r="P63" s="325"/>
      <c r="Q63" s="412"/>
      <c r="R63" s="421"/>
    </row>
    <row r="64" spans="1:34" s="395" customFormat="1" ht="15" customHeight="1">
      <c r="A64" s="302"/>
      <c r="B64" s="408" t="s">
        <v>1612</v>
      </c>
      <c r="C64" s="414">
        <f>Eriheited!C208</f>
        <v>2.2452932181359362E-3</v>
      </c>
      <c r="D64" s="414">
        <f>Eriheited!D208</f>
        <v>1.1226466090679681E-3</v>
      </c>
      <c r="E64" s="409"/>
      <c r="F64" s="390" t="s">
        <v>2018</v>
      </c>
      <c r="G64" s="411" t="s">
        <v>1922</v>
      </c>
      <c r="H64" s="412"/>
      <c r="I64" s="325"/>
      <c r="J64" s="412"/>
      <c r="K64" s="412"/>
      <c r="L64" s="412"/>
      <c r="M64" s="325"/>
      <c r="N64" s="325"/>
      <c r="O64" s="325"/>
      <c r="P64" s="325"/>
      <c r="Q64" s="412"/>
      <c r="R64" s="421"/>
    </row>
    <row r="65" spans="1:34" s="395" customFormat="1" ht="15" customHeight="1">
      <c r="A65" s="297"/>
      <c r="B65" s="408" t="s">
        <v>1613</v>
      </c>
      <c r="C65" s="409"/>
      <c r="D65" s="409"/>
      <c r="E65" s="410">
        <f>Eriheited!E209</f>
        <v>8.7730546348384567E-3</v>
      </c>
      <c r="F65" s="390" t="s">
        <v>2017</v>
      </c>
      <c r="G65" s="411" t="s">
        <v>1921</v>
      </c>
      <c r="H65" s="412"/>
      <c r="I65" s="325"/>
      <c r="J65" s="412"/>
      <c r="K65" s="412"/>
      <c r="L65" s="412"/>
      <c r="M65" s="325"/>
      <c r="N65" s="325"/>
      <c r="O65" s="325"/>
      <c r="P65" s="325"/>
      <c r="Q65" s="325"/>
      <c r="R65" s="326"/>
      <c r="S65" s="297"/>
      <c r="T65" s="297"/>
      <c r="U65" s="297"/>
      <c r="V65" s="297"/>
      <c r="W65" s="297"/>
      <c r="X65" s="297"/>
      <c r="Y65" s="297"/>
      <c r="Z65" s="297"/>
      <c r="AA65" s="297"/>
      <c r="AB65" s="297"/>
      <c r="AC65" s="297"/>
      <c r="AD65" s="297"/>
      <c r="AE65" s="297"/>
      <c r="AF65" s="297"/>
      <c r="AG65" s="297"/>
      <c r="AH65" s="297"/>
    </row>
    <row r="66" spans="1:34" s="395" customFormat="1" ht="15" customHeight="1">
      <c r="A66" s="297"/>
      <c r="B66" s="408" t="s">
        <v>1614</v>
      </c>
      <c r="C66" s="414">
        <f>Eriheited!C210</f>
        <v>5.5346345936436883E-4</v>
      </c>
      <c r="D66" s="415">
        <f>Eriheited!D210</f>
        <v>2.7673172968218442E-4</v>
      </c>
      <c r="E66" s="409"/>
      <c r="F66" s="390" t="s">
        <v>2018</v>
      </c>
      <c r="G66" s="411" t="s">
        <v>1921</v>
      </c>
      <c r="H66" s="412"/>
      <c r="I66" s="325"/>
      <c r="J66" s="412"/>
      <c r="K66" s="412"/>
      <c r="L66" s="412"/>
      <c r="M66" s="325"/>
      <c r="N66" s="325"/>
      <c r="O66" s="325"/>
      <c r="P66" s="325"/>
      <c r="Q66" s="325"/>
      <c r="R66" s="326"/>
      <c r="S66" s="297"/>
      <c r="T66" s="297"/>
      <c r="U66" s="297"/>
      <c r="V66" s="297"/>
      <c r="W66" s="297"/>
      <c r="X66" s="297"/>
      <c r="Y66" s="297"/>
      <c r="Z66" s="297"/>
      <c r="AA66" s="297"/>
      <c r="AB66" s="297"/>
      <c r="AC66" s="297"/>
      <c r="AD66" s="297"/>
      <c r="AE66" s="297"/>
      <c r="AF66" s="297"/>
      <c r="AG66" s="297"/>
      <c r="AH66" s="297"/>
    </row>
    <row r="67" spans="1:34" s="395" customFormat="1" ht="15" customHeight="1">
      <c r="A67" s="302"/>
      <c r="B67" s="408" t="s">
        <v>1615</v>
      </c>
      <c r="C67" s="409"/>
      <c r="D67" s="409"/>
      <c r="E67" s="410">
        <f>Eriheited!E211</f>
        <v>0.66225481926609053</v>
      </c>
      <c r="F67" s="390" t="s">
        <v>2017</v>
      </c>
      <c r="G67" s="411" t="s">
        <v>1920</v>
      </c>
      <c r="H67" s="412"/>
      <c r="I67" s="325"/>
      <c r="J67" s="412"/>
      <c r="K67" s="412"/>
      <c r="L67" s="412"/>
      <c r="M67" s="325"/>
      <c r="N67" s="325"/>
      <c r="O67" s="325"/>
      <c r="P67" s="325"/>
      <c r="Q67" s="412"/>
      <c r="R67" s="421"/>
    </row>
    <row r="68" spans="1:34" s="395" customFormat="1" ht="15" customHeight="1">
      <c r="A68" s="302"/>
      <c r="B68" s="408" t="s">
        <v>1616</v>
      </c>
      <c r="C68" s="414">
        <f>Eriheited!C212</f>
        <v>4.1779500813342939E-2</v>
      </c>
      <c r="D68" s="414">
        <f>Eriheited!D212</f>
        <v>2.0889750406671469E-2</v>
      </c>
      <c r="E68" s="409"/>
      <c r="F68" s="390" t="s">
        <v>2018</v>
      </c>
      <c r="G68" s="411" t="s">
        <v>1920</v>
      </c>
      <c r="H68" s="412"/>
      <c r="I68" s="325"/>
      <c r="J68" s="412"/>
      <c r="K68" s="412"/>
      <c r="L68" s="412"/>
      <c r="M68" s="325"/>
      <c r="N68" s="325"/>
      <c r="O68" s="325"/>
      <c r="P68" s="325"/>
      <c r="Q68" s="412"/>
      <c r="R68" s="421"/>
    </row>
    <row r="69" spans="1:34" s="395" customFormat="1" ht="15" customHeight="1">
      <c r="A69" s="302"/>
      <c r="B69" s="297"/>
      <c r="C69" s="297"/>
      <c r="D69" s="297"/>
      <c r="E69" s="297"/>
      <c r="F69" s="297"/>
      <c r="G69" s="297"/>
      <c r="H69" s="297"/>
      <c r="I69" s="297"/>
      <c r="M69" s="297"/>
      <c r="N69" s="297"/>
      <c r="O69" s="297"/>
      <c r="P69" s="297"/>
    </row>
    <row r="70" spans="1:34" s="395" customFormat="1" ht="15" customHeight="1">
      <c r="A70" s="302"/>
      <c r="B70" s="297"/>
      <c r="C70" s="297"/>
      <c r="D70" s="297"/>
      <c r="F70" s="297"/>
      <c r="G70" s="297"/>
      <c r="H70" s="297"/>
      <c r="I70" s="297"/>
      <c r="M70" s="297"/>
      <c r="N70" s="297"/>
      <c r="O70" s="297"/>
      <c r="P70" s="297"/>
    </row>
    <row r="71" spans="1:34" s="395" customFormat="1" ht="15" customHeight="1">
      <c r="A71" s="302"/>
      <c r="B71" s="991" t="s">
        <v>1845</v>
      </c>
      <c r="C71" s="988" t="s">
        <v>126</v>
      </c>
      <c r="D71" s="989"/>
      <c r="E71" s="990"/>
      <c r="F71" s="402" t="s">
        <v>81</v>
      </c>
      <c r="G71" s="403" t="s">
        <v>142</v>
      </c>
      <c r="H71" s="404"/>
      <c r="I71" s="404"/>
      <c r="J71" s="417"/>
      <c r="K71" s="417"/>
      <c r="L71" s="417"/>
      <c r="M71" s="417"/>
      <c r="N71" s="417"/>
      <c r="O71" s="417"/>
      <c r="P71" s="418"/>
    </row>
    <row r="72" spans="1:34" s="395" customFormat="1" ht="15" customHeight="1">
      <c r="A72" s="302"/>
      <c r="B72" s="992"/>
      <c r="C72" s="405" t="s">
        <v>347</v>
      </c>
      <c r="D72" s="406" t="s">
        <v>348</v>
      </c>
      <c r="E72" s="405" t="s">
        <v>349</v>
      </c>
      <c r="F72" s="357"/>
      <c r="G72" s="357"/>
      <c r="H72" s="407"/>
      <c r="I72" s="407"/>
      <c r="J72" s="419"/>
      <c r="K72" s="419"/>
      <c r="L72" s="419"/>
      <c r="M72" s="419"/>
      <c r="N72" s="419"/>
      <c r="O72" s="419"/>
      <c r="P72" s="420"/>
    </row>
    <row r="73" spans="1:34" s="395" customFormat="1" ht="15" customHeight="1">
      <c r="A73" s="302"/>
      <c r="B73" s="408" t="s">
        <v>1633</v>
      </c>
      <c r="C73" s="409"/>
      <c r="D73" s="409"/>
      <c r="E73" s="374">
        <f>Eriheited!E217</f>
        <v>3.0905117509927429E-2</v>
      </c>
      <c r="F73" s="390" t="s">
        <v>2017</v>
      </c>
      <c r="G73" s="411" t="s">
        <v>1917</v>
      </c>
      <c r="H73" s="412"/>
      <c r="I73" s="325"/>
      <c r="J73" s="412"/>
      <c r="K73" s="412"/>
      <c r="L73" s="412"/>
      <c r="M73" s="325"/>
      <c r="N73" s="325"/>
      <c r="O73" s="325"/>
      <c r="P73" s="326"/>
    </row>
    <row r="74" spans="1:34" s="395" customFormat="1" ht="30" customHeight="1">
      <c r="A74" s="297"/>
      <c r="B74" s="806" t="s">
        <v>1634</v>
      </c>
      <c r="C74" s="414">
        <f>Eriheited!C218</f>
        <v>4.2828202397621057E-3</v>
      </c>
      <c r="D74" s="414">
        <f>Eriheited!D218</f>
        <v>2.1414101198810528E-3</v>
      </c>
      <c r="E74" s="409"/>
      <c r="F74" s="390" t="s">
        <v>2018</v>
      </c>
      <c r="G74" s="411" t="s">
        <v>1917</v>
      </c>
      <c r="H74" s="412"/>
      <c r="I74" s="325"/>
      <c r="J74" s="412"/>
      <c r="K74" s="412"/>
      <c r="L74" s="412"/>
      <c r="M74" s="325"/>
      <c r="N74" s="325"/>
      <c r="O74" s="325"/>
      <c r="P74" s="326"/>
    </row>
    <row r="75" spans="1:34" s="395" customFormat="1" ht="15" customHeight="1">
      <c r="A75" s="302"/>
      <c r="B75" s="408" t="s">
        <v>1635</v>
      </c>
      <c r="C75" s="409"/>
      <c r="D75" s="409"/>
      <c r="E75" s="410">
        <f>Eriheited!E219</f>
        <v>7.6180933122433677E-3</v>
      </c>
      <c r="F75" s="390" t="s">
        <v>2017</v>
      </c>
      <c r="G75" s="411" t="s">
        <v>1918</v>
      </c>
      <c r="H75" s="412"/>
      <c r="I75" s="325"/>
      <c r="J75" s="412"/>
      <c r="K75" s="412"/>
      <c r="L75" s="412"/>
      <c r="M75" s="325"/>
      <c r="N75" s="325"/>
      <c r="O75" s="325"/>
      <c r="P75" s="326"/>
      <c r="Q75" s="297"/>
      <c r="R75" s="297"/>
      <c r="S75" s="297"/>
      <c r="T75" s="297"/>
      <c r="U75" s="297"/>
      <c r="V75" s="297"/>
      <c r="W75" s="297"/>
      <c r="X75" s="297"/>
      <c r="Y75" s="297"/>
      <c r="Z75" s="297"/>
      <c r="AA75" s="297"/>
      <c r="AB75" s="297"/>
      <c r="AC75" s="297"/>
      <c r="AD75" s="297"/>
      <c r="AE75" s="297"/>
      <c r="AF75" s="297"/>
      <c r="AG75" s="297"/>
      <c r="AH75" s="297"/>
    </row>
    <row r="76" spans="1:34" s="395" customFormat="1" ht="15" customHeight="1">
      <c r="A76" s="302"/>
      <c r="B76" s="408" t="s">
        <v>1636</v>
      </c>
      <c r="C76" s="414">
        <f>Eriheited!C220</f>
        <v>3.8403212337616999E-3</v>
      </c>
      <c r="D76" s="414">
        <f>Eriheited!D220</f>
        <v>5.2785633666643913E-4</v>
      </c>
      <c r="E76" s="409"/>
      <c r="F76" s="390" t="s">
        <v>2018</v>
      </c>
      <c r="G76" s="411" t="s">
        <v>1918</v>
      </c>
      <c r="H76" s="412"/>
      <c r="I76" s="325"/>
      <c r="J76" s="412"/>
      <c r="K76" s="412"/>
      <c r="L76" s="412"/>
      <c r="M76" s="325"/>
      <c r="N76" s="325"/>
      <c r="O76" s="325"/>
      <c r="P76" s="326"/>
      <c r="Q76" s="297"/>
      <c r="R76" s="297"/>
      <c r="S76" s="297"/>
      <c r="T76" s="297"/>
      <c r="U76" s="297"/>
      <c r="V76" s="297"/>
      <c r="W76" s="297"/>
      <c r="X76" s="297"/>
      <c r="Y76" s="297"/>
      <c r="Z76" s="297"/>
      <c r="AA76" s="297"/>
      <c r="AB76" s="297"/>
      <c r="AC76" s="297"/>
      <c r="AD76" s="297"/>
      <c r="AE76" s="297"/>
      <c r="AF76" s="297"/>
      <c r="AG76" s="297"/>
      <c r="AH76" s="297"/>
    </row>
    <row r="77" spans="1:34" s="395" customFormat="1" ht="15" customHeight="1">
      <c r="A77" s="302"/>
      <c r="B77" s="408" t="s">
        <v>1637</v>
      </c>
      <c r="C77" s="409"/>
      <c r="D77" s="409"/>
      <c r="E77" s="422">
        <f>Eriheited!E221</f>
        <v>0.57506982683287977</v>
      </c>
      <c r="F77" s="390" t="s">
        <v>2017</v>
      </c>
      <c r="G77" s="411" t="s">
        <v>1919</v>
      </c>
      <c r="H77" s="412"/>
      <c r="I77" s="325"/>
      <c r="J77" s="412"/>
      <c r="K77" s="412"/>
      <c r="L77" s="412"/>
      <c r="M77" s="325"/>
      <c r="N77" s="325"/>
      <c r="O77" s="325"/>
      <c r="P77" s="326"/>
    </row>
    <row r="78" spans="1:34" s="395" customFormat="1" ht="15" customHeight="1">
      <c r="A78" s="297"/>
      <c r="B78" s="408" t="s">
        <v>1638</v>
      </c>
      <c r="C78" s="414">
        <f>Eriheited!C222</f>
        <v>7.9692972946800791E-2</v>
      </c>
      <c r="D78" s="414">
        <f>Eriheited!D222</f>
        <v>3.9846486473400396E-2</v>
      </c>
      <c r="E78" s="409"/>
      <c r="F78" s="390" t="s">
        <v>2018</v>
      </c>
      <c r="G78" s="411" t="s">
        <v>1919</v>
      </c>
      <c r="H78" s="412"/>
      <c r="I78" s="325"/>
      <c r="J78" s="412"/>
      <c r="K78" s="412"/>
      <c r="L78" s="412"/>
      <c r="M78" s="325"/>
      <c r="N78" s="325"/>
      <c r="O78" s="325"/>
      <c r="P78" s="326"/>
    </row>
    <row r="79" spans="1:34" s="395" customFormat="1" ht="15" customHeight="1">
      <c r="A79" s="297"/>
      <c r="B79" s="461"/>
      <c r="C79" s="462"/>
      <c r="D79" s="462"/>
      <c r="E79" s="396"/>
      <c r="F79" s="396"/>
      <c r="G79" s="433"/>
      <c r="I79" s="297"/>
      <c r="M79" s="297"/>
      <c r="N79" s="297"/>
      <c r="O79" s="297"/>
      <c r="P79" s="297"/>
    </row>
    <row r="80" spans="1:34" s="395" customFormat="1" ht="15" customHeight="1">
      <c r="A80" s="302"/>
      <c r="B80" s="463"/>
      <c r="C80" s="297"/>
      <c r="D80" s="297"/>
      <c r="E80" s="297"/>
      <c r="F80" s="297"/>
      <c r="G80" s="297"/>
      <c r="H80" s="297"/>
      <c r="I80" s="396"/>
      <c r="J80" s="433"/>
      <c r="L80" s="297"/>
      <c r="M80" s="297"/>
      <c r="N80" s="297"/>
      <c r="O80" s="297"/>
      <c r="P80" s="297"/>
    </row>
    <row r="81" spans="1:14" s="395" customFormat="1" ht="15" customHeight="1">
      <c r="A81" s="302"/>
      <c r="B81" s="405" t="s">
        <v>1502</v>
      </c>
      <c r="C81" s="405" t="s">
        <v>126</v>
      </c>
      <c r="D81" s="405" t="s">
        <v>81</v>
      </c>
      <c r="E81" s="464" t="s">
        <v>142</v>
      </c>
      <c r="F81" s="465"/>
      <c r="G81" s="465"/>
      <c r="H81" s="465"/>
      <c r="I81" s="465"/>
      <c r="J81" s="466"/>
      <c r="K81" s="466"/>
      <c r="L81" s="466"/>
      <c r="M81" s="466"/>
      <c r="N81" s="467"/>
    </row>
    <row r="82" spans="1:14" s="395" customFormat="1" ht="15" customHeight="1">
      <c r="A82" s="302"/>
      <c r="B82" s="332" t="s">
        <v>1772</v>
      </c>
      <c r="C82" s="431">
        <f>0.25*'HT-Sõidukikütused (M1)'!$C$31</f>
        <v>0.66140608054688732</v>
      </c>
      <c r="D82" s="390" t="s">
        <v>2017</v>
      </c>
      <c r="E82" s="337" t="s">
        <v>1847</v>
      </c>
      <c r="F82" s="325"/>
      <c r="G82" s="325"/>
      <c r="H82" s="325"/>
      <c r="I82" s="412"/>
      <c r="J82" s="412"/>
      <c r="K82" s="412"/>
      <c r="L82" s="412"/>
      <c r="M82" s="412"/>
      <c r="N82" s="421"/>
    </row>
    <row r="83" spans="1:14" s="395" customFormat="1" ht="15" customHeight="1">
      <c r="A83" s="302"/>
      <c r="B83" s="408" t="s">
        <v>1771</v>
      </c>
      <c r="C83" s="456">
        <f>AVERAGE($C$5,$C$13)</f>
        <v>0.22355237510272502</v>
      </c>
      <c r="D83" s="390" t="s">
        <v>2017</v>
      </c>
      <c r="E83" s="324" t="s">
        <v>1773</v>
      </c>
      <c r="F83" s="325"/>
      <c r="G83" s="325"/>
      <c r="H83" s="412"/>
      <c r="I83" s="412"/>
      <c r="J83" s="412"/>
      <c r="K83" s="412"/>
      <c r="L83" s="412"/>
      <c r="M83" s="412"/>
      <c r="N83" s="421"/>
    </row>
    <row r="84" spans="1:14" s="395" customFormat="1" ht="15" customHeight="1">
      <c r="A84" s="302"/>
      <c r="B84" s="461"/>
      <c r="C84" s="468"/>
      <c r="D84" s="396"/>
      <c r="E84" s="297"/>
      <c r="F84" s="297"/>
      <c r="G84" s="297"/>
    </row>
    <row r="85" spans="1:14" s="395" customFormat="1" ht="15" customHeight="1">
      <c r="A85" s="302"/>
      <c r="B85" s="469"/>
      <c r="D85" s="297"/>
      <c r="E85" s="297"/>
      <c r="F85" s="297"/>
      <c r="G85" s="297"/>
      <c r="H85" s="297"/>
      <c r="I85" s="433"/>
      <c r="J85" s="433"/>
      <c r="K85" s="433"/>
    </row>
    <row r="86" spans="1:14" s="395" customFormat="1" ht="15" customHeight="1">
      <c r="A86" s="302"/>
      <c r="B86" s="387" t="s">
        <v>1429</v>
      </c>
      <c r="C86" s="454" t="s">
        <v>126</v>
      </c>
      <c r="D86" s="454" t="s">
        <v>81</v>
      </c>
      <c r="E86" s="387" t="s">
        <v>142</v>
      </c>
      <c r="F86" s="388"/>
      <c r="G86" s="388"/>
      <c r="H86" s="388"/>
      <c r="I86" s="388"/>
      <c r="J86" s="388"/>
      <c r="K86" s="388"/>
      <c r="L86" s="388"/>
      <c r="M86" s="388"/>
      <c r="N86" s="455"/>
    </row>
    <row r="87" spans="1:14" s="395" customFormat="1" ht="30" customHeight="1">
      <c r="A87" s="302"/>
      <c r="B87" s="807" t="s">
        <v>1551</v>
      </c>
      <c r="C87" s="348">
        <f>0.00801633407624263*'HT-Sõidukikütused (M1)'!$C$13</f>
        <v>2.3386453066467649E-2</v>
      </c>
      <c r="D87" s="808" t="s">
        <v>2018</v>
      </c>
      <c r="E87" s="341" t="s">
        <v>1848</v>
      </c>
      <c r="F87" s="809"/>
      <c r="G87" s="809"/>
      <c r="H87" s="810"/>
      <c r="I87" s="810"/>
      <c r="J87" s="810"/>
      <c r="K87" s="809"/>
      <c r="L87" s="809"/>
      <c r="M87" s="809"/>
      <c r="N87" s="811"/>
    </row>
    <row r="88" spans="1:14" s="395" customFormat="1" ht="15" customHeight="1">
      <c r="A88" s="302"/>
      <c r="B88" s="470" t="s">
        <v>1552</v>
      </c>
      <c r="C88" s="346">
        <v>2.7820000000000001E-2</v>
      </c>
      <c r="D88" s="390" t="s">
        <v>2018</v>
      </c>
      <c r="E88" s="324" t="s">
        <v>315</v>
      </c>
      <c r="F88" s="412"/>
      <c r="G88" s="412"/>
      <c r="H88" s="471"/>
      <c r="I88" s="471"/>
      <c r="J88" s="471"/>
      <c r="K88" s="412"/>
      <c r="L88" s="412"/>
      <c r="M88" s="412"/>
      <c r="N88" s="421"/>
    </row>
    <row r="89" spans="1:14" s="297" customFormat="1" ht="15" customHeight="1"/>
    <row r="90" spans="1:14" s="395" customFormat="1" ht="15" customHeight="1">
      <c r="A90" s="302"/>
      <c r="B90" s="469"/>
      <c r="C90" s="472"/>
      <c r="D90" s="433"/>
      <c r="E90" s="433"/>
      <c r="F90" s="433"/>
      <c r="G90" s="433"/>
      <c r="H90" s="433"/>
      <c r="I90" s="433"/>
      <c r="J90" s="433"/>
      <c r="K90" s="433"/>
    </row>
    <row r="91" spans="1:14" s="395" customFormat="1" ht="15" customHeight="1">
      <c r="A91" s="302"/>
      <c r="B91" s="402" t="s">
        <v>1460</v>
      </c>
      <c r="C91" s="988" t="s">
        <v>126</v>
      </c>
      <c r="D91" s="990"/>
      <c r="E91" s="402" t="s">
        <v>81</v>
      </c>
      <c r="F91" s="403" t="s">
        <v>142</v>
      </c>
      <c r="G91" s="404"/>
      <c r="H91" s="404"/>
      <c r="I91" s="404"/>
      <c r="J91" s="404"/>
      <c r="K91" s="404"/>
      <c r="L91" s="404"/>
      <c r="M91" s="404"/>
      <c r="N91" s="473"/>
    </row>
    <row r="92" spans="1:14" s="395" customFormat="1" ht="30" customHeight="1">
      <c r="A92" s="302"/>
      <c r="B92" s="356"/>
      <c r="C92" s="405" t="s">
        <v>358</v>
      </c>
      <c r="D92" s="474" t="s">
        <v>359</v>
      </c>
      <c r="E92" s="356"/>
      <c r="F92" s="357"/>
      <c r="G92" s="407"/>
      <c r="H92" s="407"/>
      <c r="I92" s="407"/>
      <c r="J92" s="407"/>
      <c r="K92" s="407"/>
      <c r="L92" s="407"/>
      <c r="M92" s="407"/>
      <c r="N92" s="475"/>
    </row>
    <row r="93" spans="1:14" s="395" customFormat="1" ht="15" customHeight="1">
      <c r="A93" s="302"/>
      <c r="B93" s="470" t="s">
        <v>1905</v>
      </c>
      <c r="C93" s="346">
        <v>1.0188999999999999</v>
      </c>
      <c r="D93" s="476">
        <v>0.53867000000000009</v>
      </c>
      <c r="E93" s="337" t="s">
        <v>2025</v>
      </c>
      <c r="F93" s="324" t="s">
        <v>1906</v>
      </c>
      <c r="G93" s="325"/>
      <c r="H93" s="412"/>
      <c r="I93" s="471"/>
      <c r="J93" s="471"/>
      <c r="K93" s="412"/>
      <c r="L93" s="412"/>
      <c r="M93" s="412"/>
      <c r="N93" s="421"/>
    </row>
    <row r="94" spans="1:14" s="395" customFormat="1" ht="15" customHeight="1">
      <c r="A94" s="302"/>
      <c r="B94" s="469"/>
      <c r="C94" s="472"/>
      <c r="D94" s="433"/>
      <c r="E94" s="433"/>
      <c r="F94" s="433"/>
      <c r="G94" s="433"/>
      <c r="H94" s="433"/>
      <c r="I94" s="433"/>
      <c r="J94" s="433"/>
      <c r="K94" s="433"/>
    </row>
    <row r="95" spans="1:14" s="395" customFormat="1" ht="15" customHeight="1">
      <c r="A95" s="302"/>
      <c r="B95" s="469"/>
      <c r="C95" s="472"/>
      <c r="D95" s="433"/>
      <c r="E95" s="433"/>
      <c r="F95" s="433"/>
      <c r="G95" s="433"/>
      <c r="H95" s="433"/>
      <c r="I95" s="433"/>
      <c r="J95" s="433"/>
      <c r="K95" s="433"/>
    </row>
    <row r="96" spans="1:14" ht="15" customHeight="1">
      <c r="B96" s="387" t="s">
        <v>1846</v>
      </c>
      <c r="C96" s="454" t="s">
        <v>126</v>
      </c>
      <c r="D96" s="454" t="s">
        <v>81</v>
      </c>
      <c r="E96" s="387" t="s">
        <v>142</v>
      </c>
      <c r="F96" s="388"/>
      <c r="G96" s="388"/>
      <c r="H96" s="388"/>
      <c r="I96" s="388"/>
      <c r="J96" s="388"/>
      <c r="K96" s="388"/>
      <c r="L96" s="388"/>
      <c r="M96" s="455"/>
    </row>
    <row r="97" spans="2:13" ht="15" customHeight="1">
      <c r="B97" s="408" t="s">
        <v>1908</v>
      </c>
      <c r="C97" s="438">
        <v>1.0322E-2</v>
      </c>
      <c r="D97" s="390" t="s">
        <v>2018</v>
      </c>
      <c r="E97" s="337" t="s">
        <v>1907</v>
      </c>
      <c r="F97" s="325"/>
      <c r="G97" s="325"/>
      <c r="H97" s="325"/>
      <c r="I97" s="325"/>
      <c r="J97" s="325"/>
      <c r="K97" s="477"/>
      <c r="L97" s="477"/>
      <c r="M97" s="478"/>
    </row>
    <row r="98" spans="2:13" ht="15" customHeight="1">
      <c r="B98" s="470" t="s">
        <v>1909</v>
      </c>
      <c r="C98" s="438">
        <v>1.6142E-2</v>
      </c>
      <c r="D98" s="390" t="s">
        <v>2018</v>
      </c>
      <c r="E98" s="324" t="s">
        <v>1923</v>
      </c>
      <c r="F98" s="325"/>
      <c r="G98" s="325"/>
      <c r="H98" s="325"/>
      <c r="I98" s="325"/>
      <c r="J98" s="325"/>
      <c r="K98" s="477"/>
      <c r="L98" s="477"/>
      <c r="M98" s="478"/>
    </row>
    <row r="99" spans="2:13" ht="15" customHeight="1">
      <c r="B99" s="470" t="s">
        <v>363</v>
      </c>
      <c r="C99" s="438">
        <v>1.3080000000000001E-2</v>
      </c>
      <c r="D99" s="390" t="s">
        <v>2018</v>
      </c>
      <c r="E99" s="324" t="s">
        <v>1924</v>
      </c>
      <c r="F99" s="325"/>
      <c r="G99" s="325"/>
      <c r="H99" s="325"/>
      <c r="I99" s="325"/>
      <c r="J99" s="325"/>
      <c r="K99" s="477"/>
      <c r="L99" s="477"/>
      <c r="M99" s="478"/>
    </row>
    <row r="100" spans="2:13" ht="15" customHeight="1">
      <c r="B100" s="408" t="s">
        <v>1910</v>
      </c>
      <c r="C100" s="438">
        <v>1.1548000000000001E-2</v>
      </c>
      <c r="D100" s="390" t="s">
        <v>2018</v>
      </c>
      <c r="E100" s="324" t="s">
        <v>1925</v>
      </c>
      <c r="F100" s="325"/>
      <c r="G100" s="325"/>
      <c r="H100" s="325"/>
      <c r="I100" s="325"/>
      <c r="J100" s="325"/>
      <c r="K100" s="477"/>
      <c r="L100" s="477"/>
      <c r="M100" s="478"/>
    </row>
    <row r="101" spans="2:13" ht="15" customHeight="1">
      <c r="B101" s="408" t="s">
        <v>1911</v>
      </c>
      <c r="C101" s="438">
        <v>1.0382000000000001E-2</v>
      </c>
      <c r="D101" s="390" t="s">
        <v>2018</v>
      </c>
      <c r="E101" s="324" t="s">
        <v>1926</v>
      </c>
      <c r="F101" s="325"/>
      <c r="G101" s="325"/>
      <c r="H101" s="325"/>
      <c r="I101" s="325"/>
      <c r="J101" s="325"/>
      <c r="K101" s="477"/>
      <c r="L101" s="477"/>
      <c r="M101" s="478"/>
    </row>
    <row r="102" spans="2:13" ht="15" customHeight="1">
      <c r="B102" s="470" t="s">
        <v>1912</v>
      </c>
      <c r="C102" s="438">
        <v>4.5719999999999997E-3</v>
      </c>
      <c r="D102" s="390" t="s">
        <v>2018</v>
      </c>
      <c r="E102" s="324" t="s">
        <v>1927</v>
      </c>
      <c r="F102" s="325"/>
      <c r="G102" s="325"/>
      <c r="H102" s="325"/>
      <c r="I102" s="325"/>
      <c r="J102" s="325"/>
      <c r="K102" s="477"/>
      <c r="L102" s="477"/>
      <c r="M102" s="478"/>
    </row>
    <row r="103" spans="2:13" ht="15" customHeight="1">
      <c r="B103" s="470" t="s">
        <v>360</v>
      </c>
      <c r="C103" s="479">
        <v>8.2000000000000003E-2</v>
      </c>
      <c r="D103" s="390" t="s">
        <v>2018</v>
      </c>
      <c r="E103" s="341" t="s">
        <v>361</v>
      </c>
      <c r="F103" s="480"/>
      <c r="G103" s="325"/>
      <c r="H103" s="325"/>
      <c r="I103" s="325"/>
      <c r="J103" s="325"/>
      <c r="K103" s="477"/>
      <c r="L103" s="477"/>
      <c r="M103" s="478"/>
    </row>
    <row r="104" spans="2:13" ht="15" customHeight="1">
      <c r="B104" s="470" t="s">
        <v>1913</v>
      </c>
      <c r="C104" s="438">
        <v>3.539E-3</v>
      </c>
      <c r="D104" s="390" t="s">
        <v>2018</v>
      </c>
      <c r="E104" s="324" t="s">
        <v>1928</v>
      </c>
      <c r="F104" s="325"/>
      <c r="G104" s="325"/>
      <c r="H104" s="325"/>
      <c r="I104" s="325"/>
      <c r="J104" s="325"/>
      <c r="K104" s="477"/>
      <c r="L104" s="477"/>
      <c r="M104" s="478"/>
    </row>
    <row r="105" spans="2:13" ht="15" customHeight="1">
      <c r="B105" s="470" t="s">
        <v>362</v>
      </c>
      <c r="C105" s="346">
        <v>5.0189000000000004E-2</v>
      </c>
      <c r="D105" s="390" t="s">
        <v>2018</v>
      </c>
      <c r="E105" s="324" t="s">
        <v>315</v>
      </c>
      <c r="F105" s="325"/>
      <c r="G105" s="325"/>
      <c r="H105" s="325"/>
      <c r="I105" s="325"/>
      <c r="J105" s="325"/>
      <c r="K105" s="477"/>
      <c r="L105" s="477"/>
      <c r="M105" s="478"/>
    </row>
    <row r="106" spans="2:13" ht="30.75" customHeight="1">
      <c r="B106" s="470" t="s">
        <v>1509</v>
      </c>
      <c r="C106" s="346">
        <v>6.1138999999999999E-2</v>
      </c>
      <c r="D106" s="815" t="s">
        <v>2026</v>
      </c>
      <c r="E106" s="816" t="s">
        <v>1931</v>
      </c>
      <c r="F106" s="817"/>
      <c r="G106" s="325"/>
      <c r="H106" s="325"/>
      <c r="I106" s="325"/>
      <c r="J106" s="325"/>
      <c r="K106" s="477"/>
      <c r="L106" s="477"/>
      <c r="M106" s="478"/>
    </row>
    <row r="107" spans="2:13" ht="15" customHeight="1">
      <c r="B107" s="470" t="s">
        <v>1914</v>
      </c>
      <c r="C107" s="438">
        <v>3.8578999999999995E-2</v>
      </c>
      <c r="D107" s="390" t="s">
        <v>2018</v>
      </c>
      <c r="E107" s="324" t="s">
        <v>2190</v>
      </c>
      <c r="F107" s="325"/>
      <c r="G107" s="325"/>
      <c r="H107" s="325"/>
      <c r="I107" s="325"/>
      <c r="J107" s="325"/>
      <c r="K107" s="477"/>
      <c r="L107" s="477"/>
      <c r="M107" s="478"/>
    </row>
    <row r="108" spans="2:13" ht="15" customHeight="1">
      <c r="B108" s="408" t="s">
        <v>1915</v>
      </c>
      <c r="C108" s="438">
        <v>9.0340000000000004E-3</v>
      </c>
      <c r="D108" s="390" t="s">
        <v>2018</v>
      </c>
      <c r="E108" s="324" t="s">
        <v>1930</v>
      </c>
      <c r="F108" s="325"/>
      <c r="G108" s="325"/>
      <c r="H108" s="325"/>
      <c r="I108" s="325"/>
      <c r="J108" s="325"/>
      <c r="K108" s="477"/>
      <c r="L108" s="477"/>
      <c r="M108" s="478"/>
    </row>
    <row r="109" spans="2:13" ht="15" customHeight="1">
      <c r="B109" s="470" t="s">
        <v>1916</v>
      </c>
      <c r="C109" s="438">
        <v>1.3232000000000001E-2</v>
      </c>
      <c r="D109" s="390" t="s">
        <v>2018</v>
      </c>
      <c r="E109" s="324" t="s">
        <v>1929</v>
      </c>
      <c r="F109" s="325"/>
      <c r="G109" s="325"/>
      <c r="H109" s="325"/>
      <c r="I109" s="325"/>
      <c r="J109" s="325"/>
      <c r="K109" s="477"/>
      <c r="L109" s="477"/>
      <c r="M109" s="478"/>
    </row>
  </sheetData>
  <sortState ref="B97:M109">
    <sortCondition ref="B97:B109"/>
  </sortState>
  <mergeCells count="7">
    <mergeCell ref="C21:E21"/>
    <mergeCell ref="C49:E49"/>
    <mergeCell ref="C71:E71"/>
    <mergeCell ref="C91:D91"/>
    <mergeCell ref="B21:B22"/>
    <mergeCell ref="B49:B50"/>
    <mergeCell ref="B71:B72"/>
  </mergeCells>
  <conditionalFormatting sqref="K19:L20 E3:J3">
    <cfRule type="expression" dxfId="5" priority="3" stopIfTrue="1">
      <formula>NOT(E3="")</formula>
    </cfRule>
  </conditionalFormatting>
  <hyperlinks>
    <hyperlink ref="A2" location="Sisukord!A1" display="Sisukord"/>
  </hyperlink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Z143"/>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G29" sqref="G29"/>
    </sheetView>
  </sheetViews>
  <sheetFormatPr defaultColWidth="11.453125" defaultRowHeight="15" customHeight="1"/>
  <cols>
    <col min="1" max="1" width="7.1796875" style="302" customWidth="1"/>
    <col min="2" max="2" width="61" style="443" customWidth="1"/>
    <col min="3" max="3" width="15.7265625" style="443" customWidth="1"/>
    <col min="4" max="4" width="20.7265625" style="443" customWidth="1"/>
    <col min="5" max="5" width="131.81640625" style="443" customWidth="1"/>
    <col min="6" max="6" width="13.453125" style="452" customWidth="1"/>
    <col min="7" max="218" width="11.453125" style="452"/>
    <col min="219" max="219" width="5.54296875" style="452" customWidth="1"/>
    <col min="220" max="220" width="23.453125" style="452" customWidth="1"/>
    <col min="221" max="221" width="22.54296875" style="452" customWidth="1"/>
    <col min="222" max="222" width="14.453125" style="452" customWidth="1"/>
    <col min="223" max="254" width="13.54296875" style="452" customWidth="1"/>
    <col min="255" max="255" width="48.54296875" style="452" customWidth="1"/>
    <col min="256" max="474" width="11.453125" style="452"/>
    <col min="475" max="475" width="5.54296875" style="452" customWidth="1"/>
    <col min="476" max="476" width="23.453125" style="452" customWidth="1"/>
    <col min="477" max="477" width="22.54296875" style="452" customWidth="1"/>
    <col min="478" max="478" width="14.453125" style="452" customWidth="1"/>
    <col min="479" max="510" width="13.54296875" style="452" customWidth="1"/>
    <col min="511" max="511" width="48.54296875" style="452" customWidth="1"/>
    <col min="512" max="730" width="11.453125" style="452"/>
    <col min="731" max="731" width="5.54296875" style="452" customWidth="1"/>
    <col min="732" max="732" width="23.453125" style="452" customWidth="1"/>
    <col min="733" max="733" width="22.54296875" style="452" customWidth="1"/>
    <col min="734" max="734" width="14.453125" style="452" customWidth="1"/>
    <col min="735" max="766" width="13.54296875" style="452" customWidth="1"/>
    <col min="767" max="767" width="48.54296875" style="452" customWidth="1"/>
    <col min="768" max="986" width="11.453125" style="452"/>
    <col min="987" max="987" width="5.54296875" style="452" customWidth="1"/>
    <col min="988" max="988" width="23.453125" style="452" customWidth="1"/>
    <col min="989" max="989" width="22.54296875" style="452" customWidth="1"/>
    <col min="990" max="990" width="14.453125" style="452" customWidth="1"/>
    <col min="991" max="1022" width="13.54296875" style="452" customWidth="1"/>
    <col min="1023" max="1023" width="48.54296875" style="452" customWidth="1"/>
    <col min="1024" max="1242" width="11.453125" style="452"/>
    <col min="1243" max="1243" width="5.54296875" style="452" customWidth="1"/>
    <col min="1244" max="1244" width="23.453125" style="452" customWidth="1"/>
    <col min="1245" max="1245" width="22.54296875" style="452" customWidth="1"/>
    <col min="1246" max="1246" width="14.453125" style="452" customWidth="1"/>
    <col min="1247" max="1278" width="13.54296875" style="452" customWidth="1"/>
    <col min="1279" max="1279" width="48.54296875" style="452" customWidth="1"/>
    <col min="1280" max="1498" width="11.453125" style="452"/>
    <col min="1499" max="1499" width="5.54296875" style="452" customWidth="1"/>
    <col min="1500" max="1500" width="23.453125" style="452" customWidth="1"/>
    <col min="1501" max="1501" width="22.54296875" style="452" customWidth="1"/>
    <col min="1502" max="1502" width="14.453125" style="452" customWidth="1"/>
    <col min="1503" max="1534" width="13.54296875" style="452" customWidth="1"/>
    <col min="1535" max="1535" width="48.54296875" style="452" customWidth="1"/>
    <col min="1536" max="1754" width="11.453125" style="452"/>
    <col min="1755" max="1755" width="5.54296875" style="452" customWidth="1"/>
    <col min="1756" max="1756" width="23.453125" style="452" customWidth="1"/>
    <col min="1757" max="1757" width="22.54296875" style="452" customWidth="1"/>
    <col min="1758" max="1758" width="14.453125" style="452" customWidth="1"/>
    <col min="1759" max="1790" width="13.54296875" style="452" customWidth="1"/>
    <col min="1791" max="1791" width="48.54296875" style="452" customWidth="1"/>
    <col min="1792" max="2010" width="11.453125" style="452"/>
    <col min="2011" max="2011" width="5.54296875" style="452" customWidth="1"/>
    <col min="2012" max="2012" width="23.453125" style="452" customWidth="1"/>
    <col min="2013" max="2013" width="22.54296875" style="452" customWidth="1"/>
    <col min="2014" max="2014" width="14.453125" style="452" customWidth="1"/>
    <col min="2015" max="2046" width="13.54296875" style="452" customWidth="1"/>
    <col min="2047" max="2047" width="48.54296875" style="452" customWidth="1"/>
    <col min="2048" max="2266" width="11.453125" style="452"/>
    <col min="2267" max="2267" width="5.54296875" style="452" customWidth="1"/>
    <col min="2268" max="2268" width="23.453125" style="452" customWidth="1"/>
    <col min="2269" max="2269" width="22.54296875" style="452" customWidth="1"/>
    <col min="2270" max="2270" width="14.453125" style="452" customWidth="1"/>
    <col min="2271" max="2302" width="13.54296875" style="452" customWidth="1"/>
    <col min="2303" max="2303" width="48.54296875" style="452" customWidth="1"/>
    <col min="2304" max="2522" width="11.453125" style="452"/>
    <col min="2523" max="2523" width="5.54296875" style="452" customWidth="1"/>
    <col min="2524" max="2524" width="23.453125" style="452" customWidth="1"/>
    <col min="2525" max="2525" width="22.54296875" style="452" customWidth="1"/>
    <col min="2526" max="2526" width="14.453125" style="452" customWidth="1"/>
    <col min="2527" max="2558" width="13.54296875" style="452" customWidth="1"/>
    <col min="2559" max="2559" width="48.54296875" style="452" customWidth="1"/>
    <col min="2560" max="2778" width="11.453125" style="452"/>
    <col min="2779" max="2779" width="5.54296875" style="452" customWidth="1"/>
    <col min="2780" max="2780" width="23.453125" style="452" customWidth="1"/>
    <col min="2781" max="2781" width="22.54296875" style="452" customWidth="1"/>
    <col min="2782" max="2782" width="14.453125" style="452" customWidth="1"/>
    <col min="2783" max="2814" width="13.54296875" style="452" customWidth="1"/>
    <col min="2815" max="2815" width="48.54296875" style="452" customWidth="1"/>
    <col min="2816" max="3034" width="11.453125" style="452"/>
    <col min="3035" max="3035" width="5.54296875" style="452" customWidth="1"/>
    <col min="3036" max="3036" width="23.453125" style="452" customWidth="1"/>
    <col min="3037" max="3037" width="22.54296875" style="452" customWidth="1"/>
    <col min="3038" max="3038" width="14.453125" style="452" customWidth="1"/>
    <col min="3039" max="3070" width="13.54296875" style="452" customWidth="1"/>
    <col min="3071" max="3071" width="48.54296875" style="452" customWidth="1"/>
    <col min="3072" max="3290" width="11.453125" style="452"/>
    <col min="3291" max="3291" width="5.54296875" style="452" customWidth="1"/>
    <col min="3292" max="3292" width="23.453125" style="452" customWidth="1"/>
    <col min="3293" max="3293" width="22.54296875" style="452" customWidth="1"/>
    <col min="3294" max="3294" width="14.453125" style="452" customWidth="1"/>
    <col min="3295" max="3326" width="13.54296875" style="452" customWidth="1"/>
    <col min="3327" max="3327" width="48.54296875" style="452" customWidth="1"/>
    <col min="3328" max="3546" width="11.453125" style="452"/>
    <col min="3547" max="3547" width="5.54296875" style="452" customWidth="1"/>
    <col min="3548" max="3548" width="23.453125" style="452" customWidth="1"/>
    <col min="3549" max="3549" width="22.54296875" style="452" customWidth="1"/>
    <col min="3550" max="3550" width="14.453125" style="452" customWidth="1"/>
    <col min="3551" max="3582" width="13.54296875" style="452" customWidth="1"/>
    <col min="3583" max="3583" width="48.54296875" style="452" customWidth="1"/>
    <col min="3584" max="3802" width="11.453125" style="452"/>
    <col min="3803" max="3803" width="5.54296875" style="452" customWidth="1"/>
    <col min="3804" max="3804" width="23.453125" style="452" customWidth="1"/>
    <col min="3805" max="3805" width="22.54296875" style="452" customWidth="1"/>
    <col min="3806" max="3806" width="14.453125" style="452" customWidth="1"/>
    <col min="3807" max="3838" width="13.54296875" style="452" customWidth="1"/>
    <col min="3839" max="3839" width="48.54296875" style="452" customWidth="1"/>
    <col min="3840" max="4058" width="11.453125" style="452"/>
    <col min="4059" max="4059" width="5.54296875" style="452" customWidth="1"/>
    <col min="4060" max="4060" width="23.453125" style="452" customWidth="1"/>
    <col min="4061" max="4061" width="22.54296875" style="452" customWidth="1"/>
    <col min="4062" max="4062" width="14.453125" style="452" customWidth="1"/>
    <col min="4063" max="4094" width="13.54296875" style="452" customWidth="1"/>
    <col min="4095" max="4095" width="48.54296875" style="452" customWidth="1"/>
    <col min="4096" max="4314" width="11.453125" style="452"/>
    <col min="4315" max="4315" width="5.54296875" style="452" customWidth="1"/>
    <col min="4316" max="4316" width="23.453125" style="452" customWidth="1"/>
    <col min="4317" max="4317" width="22.54296875" style="452" customWidth="1"/>
    <col min="4318" max="4318" width="14.453125" style="452" customWidth="1"/>
    <col min="4319" max="4350" width="13.54296875" style="452" customWidth="1"/>
    <col min="4351" max="4351" width="48.54296875" style="452" customWidth="1"/>
    <col min="4352" max="4570" width="11.453125" style="452"/>
    <col min="4571" max="4571" width="5.54296875" style="452" customWidth="1"/>
    <col min="4572" max="4572" width="23.453125" style="452" customWidth="1"/>
    <col min="4573" max="4573" width="22.54296875" style="452" customWidth="1"/>
    <col min="4574" max="4574" width="14.453125" style="452" customWidth="1"/>
    <col min="4575" max="4606" width="13.54296875" style="452" customWidth="1"/>
    <col min="4607" max="4607" width="48.54296875" style="452" customWidth="1"/>
    <col min="4608" max="4826" width="11.453125" style="452"/>
    <col min="4827" max="4827" width="5.54296875" style="452" customWidth="1"/>
    <col min="4828" max="4828" width="23.453125" style="452" customWidth="1"/>
    <col min="4829" max="4829" width="22.54296875" style="452" customWidth="1"/>
    <col min="4830" max="4830" width="14.453125" style="452" customWidth="1"/>
    <col min="4831" max="4862" width="13.54296875" style="452" customWidth="1"/>
    <col min="4863" max="4863" width="48.54296875" style="452" customWidth="1"/>
    <col min="4864" max="5082" width="11.453125" style="452"/>
    <col min="5083" max="5083" width="5.54296875" style="452" customWidth="1"/>
    <col min="5084" max="5084" width="23.453125" style="452" customWidth="1"/>
    <col min="5085" max="5085" width="22.54296875" style="452" customWidth="1"/>
    <col min="5086" max="5086" width="14.453125" style="452" customWidth="1"/>
    <col min="5087" max="5118" width="13.54296875" style="452" customWidth="1"/>
    <col min="5119" max="5119" width="48.54296875" style="452" customWidth="1"/>
    <col min="5120" max="5338" width="11.453125" style="452"/>
    <col min="5339" max="5339" width="5.54296875" style="452" customWidth="1"/>
    <col min="5340" max="5340" width="23.453125" style="452" customWidth="1"/>
    <col min="5341" max="5341" width="22.54296875" style="452" customWidth="1"/>
    <col min="5342" max="5342" width="14.453125" style="452" customWidth="1"/>
    <col min="5343" max="5374" width="13.54296875" style="452" customWidth="1"/>
    <col min="5375" max="5375" width="48.54296875" style="452" customWidth="1"/>
    <col min="5376" max="5594" width="11.453125" style="452"/>
    <col min="5595" max="5595" width="5.54296875" style="452" customWidth="1"/>
    <col min="5596" max="5596" width="23.453125" style="452" customWidth="1"/>
    <col min="5597" max="5597" width="22.54296875" style="452" customWidth="1"/>
    <col min="5598" max="5598" width="14.453125" style="452" customWidth="1"/>
    <col min="5599" max="5630" width="13.54296875" style="452" customWidth="1"/>
    <col min="5631" max="5631" width="48.54296875" style="452" customWidth="1"/>
    <col min="5632" max="5850" width="11.453125" style="452"/>
    <col min="5851" max="5851" width="5.54296875" style="452" customWidth="1"/>
    <col min="5852" max="5852" width="23.453125" style="452" customWidth="1"/>
    <col min="5853" max="5853" width="22.54296875" style="452" customWidth="1"/>
    <col min="5854" max="5854" width="14.453125" style="452" customWidth="1"/>
    <col min="5855" max="5886" width="13.54296875" style="452" customWidth="1"/>
    <col min="5887" max="5887" width="48.54296875" style="452" customWidth="1"/>
    <col min="5888" max="6106" width="11.453125" style="452"/>
    <col min="6107" max="6107" width="5.54296875" style="452" customWidth="1"/>
    <col min="6108" max="6108" width="23.453125" style="452" customWidth="1"/>
    <col min="6109" max="6109" width="22.54296875" style="452" customWidth="1"/>
    <col min="6110" max="6110" width="14.453125" style="452" customWidth="1"/>
    <col min="6111" max="6142" width="13.54296875" style="452" customWidth="1"/>
    <col min="6143" max="6143" width="48.54296875" style="452" customWidth="1"/>
    <col min="6144" max="6362" width="11.453125" style="452"/>
    <col min="6363" max="6363" width="5.54296875" style="452" customWidth="1"/>
    <col min="6364" max="6364" width="23.453125" style="452" customWidth="1"/>
    <col min="6365" max="6365" width="22.54296875" style="452" customWidth="1"/>
    <col min="6366" max="6366" width="14.453125" style="452" customWidth="1"/>
    <col min="6367" max="6398" width="13.54296875" style="452" customWidth="1"/>
    <col min="6399" max="6399" width="48.54296875" style="452" customWidth="1"/>
    <col min="6400" max="6618" width="11.453125" style="452"/>
    <col min="6619" max="6619" width="5.54296875" style="452" customWidth="1"/>
    <col min="6620" max="6620" width="23.453125" style="452" customWidth="1"/>
    <col min="6621" max="6621" width="22.54296875" style="452" customWidth="1"/>
    <col min="6622" max="6622" width="14.453125" style="452" customWidth="1"/>
    <col min="6623" max="6654" width="13.54296875" style="452" customWidth="1"/>
    <col min="6655" max="6655" width="48.54296875" style="452" customWidth="1"/>
    <col min="6656" max="6874" width="11.453125" style="452"/>
    <col min="6875" max="6875" width="5.54296875" style="452" customWidth="1"/>
    <col min="6876" max="6876" width="23.453125" style="452" customWidth="1"/>
    <col min="6877" max="6877" width="22.54296875" style="452" customWidth="1"/>
    <col min="6878" max="6878" width="14.453125" style="452" customWidth="1"/>
    <col min="6879" max="6910" width="13.54296875" style="452" customWidth="1"/>
    <col min="6911" max="6911" width="48.54296875" style="452" customWidth="1"/>
    <col min="6912" max="7130" width="11.453125" style="452"/>
    <col min="7131" max="7131" width="5.54296875" style="452" customWidth="1"/>
    <col min="7132" max="7132" width="23.453125" style="452" customWidth="1"/>
    <col min="7133" max="7133" width="22.54296875" style="452" customWidth="1"/>
    <col min="7134" max="7134" width="14.453125" style="452" customWidth="1"/>
    <col min="7135" max="7166" width="13.54296875" style="452" customWidth="1"/>
    <col min="7167" max="7167" width="48.54296875" style="452" customWidth="1"/>
    <col min="7168" max="7386" width="11.453125" style="452"/>
    <col min="7387" max="7387" width="5.54296875" style="452" customWidth="1"/>
    <col min="7388" max="7388" width="23.453125" style="452" customWidth="1"/>
    <col min="7389" max="7389" width="22.54296875" style="452" customWidth="1"/>
    <col min="7390" max="7390" width="14.453125" style="452" customWidth="1"/>
    <col min="7391" max="7422" width="13.54296875" style="452" customWidth="1"/>
    <col min="7423" max="7423" width="48.54296875" style="452" customWidth="1"/>
    <col min="7424" max="7642" width="11.453125" style="452"/>
    <col min="7643" max="7643" width="5.54296875" style="452" customWidth="1"/>
    <col min="7644" max="7644" width="23.453125" style="452" customWidth="1"/>
    <col min="7645" max="7645" width="22.54296875" style="452" customWidth="1"/>
    <col min="7646" max="7646" width="14.453125" style="452" customWidth="1"/>
    <col min="7647" max="7678" width="13.54296875" style="452" customWidth="1"/>
    <col min="7679" max="7679" width="48.54296875" style="452" customWidth="1"/>
    <col min="7680" max="7898" width="11.453125" style="452"/>
    <col min="7899" max="7899" width="5.54296875" style="452" customWidth="1"/>
    <col min="7900" max="7900" width="23.453125" style="452" customWidth="1"/>
    <col min="7901" max="7901" width="22.54296875" style="452" customWidth="1"/>
    <col min="7902" max="7902" width="14.453125" style="452" customWidth="1"/>
    <col min="7903" max="7934" width="13.54296875" style="452" customWidth="1"/>
    <col min="7935" max="7935" width="48.54296875" style="452" customWidth="1"/>
    <col min="7936" max="8154" width="11.453125" style="452"/>
    <col min="8155" max="8155" width="5.54296875" style="452" customWidth="1"/>
    <col min="8156" max="8156" width="23.453125" style="452" customWidth="1"/>
    <col min="8157" max="8157" width="22.54296875" style="452" customWidth="1"/>
    <col min="8158" max="8158" width="14.453125" style="452" customWidth="1"/>
    <col min="8159" max="8190" width="13.54296875" style="452" customWidth="1"/>
    <col min="8191" max="8191" width="48.54296875" style="452" customWidth="1"/>
    <col min="8192" max="8410" width="11.453125" style="452"/>
    <col min="8411" max="8411" width="5.54296875" style="452" customWidth="1"/>
    <col min="8412" max="8412" width="23.453125" style="452" customWidth="1"/>
    <col min="8413" max="8413" width="22.54296875" style="452" customWidth="1"/>
    <col min="8414" max="8414" width="14.453125" style="452" customWidth="1"/>
    <col min="8415" max="8446" width="13.54296875" style="452" customWidth="1"/>
    <col min="8447" max="8447" width="48.54296875" style="452" customWidth="1"/>
    <col min="8448" max="8666" width="11.453125" style="452"/>
    <col min="8667" max="8667" width="5.54296875" style="452" customWidth="1"/>
    <col min="8668" max="8668" width="23.453125" style="452" customWidth="1"/>
    <col min="8669" max="8669" width="22.54296875" style="452" customWidth="1"/>
    <col min="8670" max="8670" width="14.453125" style="452" customWidth="1"/>
    <col min="8671" max="8702" width="13.54296875" style="452" customWidth="1"/>
    <col min="8703" max="8703" width="48.54296875" style="452" customWidth="1"/>
    <col min="8704" max="8922" width="11.453125" style="452"/>
    <col min="8923" max="8923" width="5.54296875" style="452" customWidth="1"/>
    <col min="8924" max="8924" width="23.453125" style="452" customWidth="1"/>
    <col min="8925" max="8925" width="22.54296875" style="452" customWidth="1"/>
    <col min="8926" max="8926" width="14.453125" style="452" customWidth="1"/>
    <col min="8927" max="8958" width="13.54296875" style="452" customWidth="1"/>
    <col min="8959" max="8959" width="48.54296875" style="452" customWidth="1"/>
    <col min="8960" max="9178" width="11.453125" style="452"/>
    <col min="9179" max="9179" width="5.54296875" style="452" customWidth="1"/>
    <col min="9180" max="9180" width="23.453125" style="452" customWidth="1"/>
    <col min="9181" max="9181" width="22.54296875" style="452" customWidth="1"/>
    <col min="9182" max="9182" width="14.453125" style="452" customWidth="1"/>
    <col min="9183" max="9214" width="13.54296875" style="452" customWidth="1"/>
    <col min="9215" max="9215" width="48.54296875" style="452" customWidth="1"/>
    <col min="9216" max="9434" width="11.453125" style="452"/>
    <col min="9435" max="9435" width="5.54296875" style="452" customWidth="1"/>
    <col min="9436" max="9436" width="23.453125" style="452" customWidth="1"/>
    <col min="9437" max="9437" width="22.54296875" style="452" customWidth="1"/>
    <col min="9438" max="9438" width="14.453125" style="452" customWidth="1"/>
    <col min="9439" max="9470" width="13.54296875" style="452" customWidth="1"/>
    <col min="9471" max="9471" width="48.54296875" style="452" customWidth="1"/>
    <col min="9472" max="9690" width="11.453125" style="452"/>
    <col min="9691" max="9691" width="5.54296875" style="452" customWidth="1"/>
    <col min="9692" max="9692" width="23.453125" style="452" customWidth="1"/>
    <col min="9693" max="9693" width="22.54296875" style="452" customWidth="1"/>
    <col min="9694" max="9694" width="14.453125" style="452" customWidth="1"/>
    <col min="9695" max="9726" width="13.54296875" style="452" customWidth="1"/>
    <col min="9727" max="9727" width="48.54296875" style="452" customWidth="1"/>
    <col min="9728" max="9946" width="11.453125" style="452"/>
    <col min="9947" max="9947" width="5.54296875" style="452" customWidth="1"/>
    <col min="9948" max="9948" width="23.453125" style="452" customWidth="1"/>
    <col min="9949" max="9949" width="22.54296875" style="452" customWidth="1"/>
    <col min="9950" max="9950" width="14.453125" style="452" customWidth="1"/>
    <col min="9951" max="9982" width="13.54296875" style="452" customWidth="1"/>
    <col min="9983" max="9983" width="48.54296875" style="452" customWidth="1"/>
    <col min="9984" max="10202" width="11.453125" style="452"/>
    <col min="10203" max="10203" width="5.54296875" style="452" customWidth="1"/>
    <col min="10204" max="10204" width="23.453125" style="452" customWidth="1"/>
    <col min="10205" max="10205" width="22.54296875" style="452" customWidth="1"/>
    <col min="10206" max="10206" width="14.453125" style="452" customWidth="1"/>
    <col min="10207" max="10238" width="13.54296875" style="452" customWidth="1"/>
    <col min="10239" max="10239" width="48.54296875" style="452" customWidth="1"/>
    <col min="10240" max="10458" width="11.453125" style="452"/>
    <col min="10459" max="10459" width="5.54296875" style="452" customWidth="1"/>
    <col min="10460" max="10460" width="23.453125" style="452" customWidth="1"/>
    <col min="10461" max="10461" width="22.54296875" style="452" customWidth="1"/>
    <col min="10462" max="10462" width="14.453125" style="452" customWidth="1"/>
    <col min="10463" max="10494" width="13.54296875" style="452" customWidth="1"/>
    <col min="10495" max="10495" width="48.54296875" style="452" customWidth="1"/>
    <col min="10496" max="10714" width="11.453125" style="452"/>
    <col min="10715" max="10715" width="5.54296875" style="452" customWidth="1"/>
    <col min="10716" max="10716" width="23.453125" style="452" customWidth="1"/>
    <col min="10717" max="10717" width="22.54296875" style="452" customWidth="1"/>
    <col min="10718" max="10718" width="14.453125" style="452" customWidth="1"/>
    <col min="10719" max="10750" width="13.54296875" style="452" customWidth="1"/>
    <col min="10751" max="10751" width="48.54296875" style="452" customWidth="1"/>
    <col min="10752" max="10970" width="11.453125" style="452"/>
    <col min="10971" max="10971" width="5.54296875" style="452" customWidth="1"/>
    <col min="10972" max="10972" width="23.453125" style="452" customWidth="1"/>
    <col min="10973" max="10973" width="22.54296875" style="452" customWidth="1"/>
    <col min="10974" max="10974" width="14.453125" style="452" customWidth="1"/>
    <col min="10975" max="11006" width="13.54296875" style="452" customWidth="1"/>
    <col min="11007" max="11007" width="48.54296875" style="452" customWidth="1"/>
    <col min="11008" max="11226" width="11.453125" style="452"/>
    <col min="11227" max="11227" width="5.54296875" style="452" customWidth="1"/>
    <col min="11228" max="11228" width="23.453125" style="452" customWidth="1"/>
    <col min="11229" max="11229" width="22.54296875" style="452" customWidth="1"/>
    <col min="11230" max="11230" width="14.453125" style="452" customWidth="1"/>
    <col min="11231" max="11262" width="13.54296875" style="452" customWidth="1"/>
    <col min="11263" max="11263" width="48.54296875" style="452" customWidth="1"/>
    <col min="11264" max="11482" width="11.453125" style="452"/>
    <col min="11483" max="11483" width="5.54296875" style="452" customWidth="1"/>
    <col min="11484" max="11484" width="23.453125" style="452" customWidth="1"/>
    <col min="11485" max="11485" width="22.54296875" style="452" customWidth="1"/>
    <col min="11486" max="11486" width="14.453125" style="452" customWidth="1"/>
    <col min="11487" max="11518" width="13.54296875" style="452" customWidth="1"/>
    <col min="11519" max="11519" width="48.54296875" style="452" customWidth="1"/>
    <col min="11520" max="11738" width="11.453125" style="452"/>
    <col min="11739" max="11739" width="5.54296875" style="452" customWidth="1"/>
    <col min="11740" max="11740" width="23.453125" style="452" customWidth="1"/>
    <col min="11741" max="11741" width="22.54296875" style="452" customWidth="1"/>
    <col min="11742" max="11742" width="14.453125" style="452" customWidth="1"/>
    <col min="11743" max="11774" width="13.54296875" style="452" customWidth="1"/>
    <col min="11775" max="11775" width="48.54296875" style="452" customWidth="1"/>
    <col min="11776" max="11994" width="11.453125" style="452"/>
    <col min="11995" max="11995" width="5.54296875" style="452" customWidth="1"/>
    <col min="11996" max="11996" width="23.453125" style="452" customWidth="1"/>
    <col min="11997" max="11997" width="22.54296875" style="452" customWidth="1"/>
    <col min="11998" max="11998" width="14.453125" style="452" customWidth="1"/>
    <col min="11999" max="12030" width="13.54296875" style="452" customWidth="1"/>
    <col min="12031" max="12031" width="48.54296875" style="452" customWidth="1"/>
    <col min="12032" max="12250" width="11.453125" style="452"/>
    <col min="12251" max="12251" width="5.54296875" style="452" customWidth="1"/>
    <col min="12252" max="12252" width="23.453125" style="452" customWidth="1"/>
    <col min="12253" max="12253" width="22.54296875" style="452" customWidth="1"/>
    <col min="12254" max="12254" width="14.453125" style="452" customWidth="1"/>
    <col min="12255" max="12286" width="13.54296875" style="452" customWidth="1"/>
    <col min="12287" max="12287" width="48.54296875" style="452" customWidth="1"/>
    <col min="12288" max="12506" width="11.453125" style="452"/>
    <col min="12507" max="12507" width="5.54296875" style="452" customWidth="1"/>
    <col min="12508" max="12508" width="23.453125" style="452" customWidth="1"/>
    <col min="12509" max="12509" width="22.54296875" style="452" customWidth="1"/>
    <col min="12510" max="12510" width="14.453125" style="452" customWidth="1"/>
    <col min="12511" max="12542" width="13.54296875" style="452" customWidth="1"/>
    <col min="12543" max="12543" width="48.54296875" style="452" customWidth="1"/>
    <col min="12544" max="12762" width="11.453125" style="452"/>
    <col min="12763" max="12763" width="5.54296875" style="452" customWidth="1"/>
    <col min="12764" max="12764" width="23.453125" style="452" customWidth="1"/>
    <col min="12765" max="12765" width="22.54296875" style="452" customWidth="1"/>
    <col min="12766" max="12766" width="14.453125" style="452" customWidth="1"/>
    <col min="12767" max="12798" width="13.54296875" style="452" customWidth="1"/>
    <col min="12799" max="12799" width="48.54296875" style="452" customWidth="1"/>
    <col min="12800" max="13018" width="11.453125" style="452"/>
    <col min="13019" max="13019" width="5.54296875" style="452" customWidth="1"/>
    <col min="13020" max="13020" width="23.453125" style="452" customWidth="1"/>
    <col min="13021" max="13021" width="22.54296875" style="452" customWidth="1"/>
    <col min="13022" max="13022" width="14.453125" style="452" customWidth="1"/>
    <col min="13023" max="13054" width="13.54296875" style="452" customWidth="1"/>
    <col min="13055" max="13055" width="48.54296875" style="452" customWidth="1"/>
    <col min="13056" max="13274" width="11.453125" style="452"/>
    <col min="13275" max="13275" width="5.54296875" style="452" customWidth="1"/>
    <col min="13276" max="13276" width="23.453125" style="452" customWidth="1"/>
    <col min="13277" max="13277" width="22.54296875" style="452" customWidth="1"/>
    <col min="13278" max="13278" width="14.453125" style="452" customWidth="1"/>
    <col min="13279" max="13310" width="13.54296875" style="452" customWidth="1"/>
    <col min="13311" max="13311" width="48.54296875" style="452" customWidth="1"/>
    <col min="13312" max="13530" width="11.453125" style="452"/>
    <col min="13531" max="13531" width="5.54296875" style="452" customWidth="1"/>
    <col min="13532" max="13532" width="23.453125" style="452" customWidth="1"/>
    <col min="13533" max="13533" width="22.54296875" style="452" customWidth="1"/>
    <col min="13534" max="13534" width="14.453125" style="452" customWidth="1"/>
    <col min="13535" max="13566" width="13.54296875" style="452" customWidth="1"/>
    <col min="13567" max="13567" width="48.54296875" style="452" customWidth="1"/>
    <col min="13568" max="13786" width="11.453125" style="452"/>
    <col min="13787" max="13787" width="5.54296875" style="452" customWidth="1"/>
    <col min="13788" max="13788" width="23.453125" style="452" customWidth="1"/>
    <col min="13789" max="13789" width="22.54296875" style="452" customWidth="1"/>
    <col min="13790" max="13790" width="14.453125" style="452" customWidth="1"/>
    <col min="13791" max="13822" width="13.54296875" style="452" customWidth="1"/>
    <col min="13823" max="13823" width="48.54296875" style="452" customWidth="1"/>
    <col min="13824" max="14042" width="11.453125" style="452"/>
    <col min="14043" max="14043" width="5.54296875" style="452" customWidth="1"/>
    <col min="14044" max="14044" width="23.453125" style="452" customWidth="1"/>
    <col min="14045" max="14045" width="22.54296875" style="452" customWidth="1"/>
    <col min="14046" max="14046" width="14.453125" style="452" customWidth="1"/>
    <col min="14047" max="14078" width="13.54296875" style="452" customWidth="1"/>
    <col min="14079" max="14079" width="48.54296875" style="452" customWidth="1"/>
    <col min="14080" max="14298" width="11.453125" style="452"/>
    <col min="14299" max="14299" width="5.54296875" style="452" customWidth="1"/>
    <col min="14300" max="14300" width="23.453125" style="452" customWidth="1"/>
    <col min="14301" max="14301" width="22.54296875" style="452" customWidth="1"/>
    <col min="14302" max="14302" width="14.453125" style="452" customWidth="1"/>
    <col min="14303" max="14334" width="13.54296875" style="452" customWidth="1"/>
    <col min="14335" max="14335" width="48.54296875" style="452" customWidth="1"/>
    <col min="14336" max="14554" width="11.453125" style="452"/>
    <col min="14555" max="14555" width="5.54296875" style="452" customWidth="1"/>
    <col min="14556" max="14556" width="23.453125" style="452" customWidth="1"/>
    <col min="14557" max="14557" width="22.54296875" style="452" customWidth="1"/>
    <col min="14558" max="14558" width="14.453125" style="452" customWidth="1"/>
    <col min="14559" max="14590" width="13.54296875" style="452" customWidth="1"/>
    <col min="14591" max="14591" width="48.54296875" style="452" customWidth="1"/>
    <col min="14592" max="14810" width="11.453125" style="452"/>
    <col min="14811" max="14811" width="5.54296875" style="452" customWidth="1"/>
    <col min="14812" max="14812" width="23.453125" style="452" customWidth="1"/>
    <col min="14813" max="14813" width="22.54296875" style="452" customWidth="1"/>
    <col min="14814" max="14814" width="14.453125" style="452" customWidth="1"/>
    <col min="14815" max="14846" width="13.54296875" style="452" customWidth="1"/>
    <col min="14847" max="14847" width="48.54296875" style="452" customWidth="1"/>
    <col min="14848" max="15066" width="11.453125" style="452"/>
    <col min="15067" max="15067" width="5.54296875" style="452" customWidth="1"/>
    <col min="15068" max="15068" width="23.453125" style="452" customWidth="1"/>
    <col min="15069" max="15069" width="22.54296875" style="452" customWidth="1"/>
    <col min="15070" max="15070" width="14.453125" style="452" customWidth="1"/>
    <col min="15071" max="15102" width="13.54296875" style="452" customWidth="1"/>
    <col min="15103" max="15103" width="48.54296875" style="452" customWidth="1"/>
    <col min="15104" max="15322" width="11.453125" style="452"/>
    <col min="15323" max="15323" width="5.54296875" style="452" customWidth="1"/>
    <col min="15324" max="15324" width="23.453125" style="452" customWidth="1"/>
    <col min="15325" max="15325" width="22.54296875" style="452" customWidth="1"/>
    <col min="15326" max="15326" width="14.453125" style="452" customWidth="1"/>
    <col min="15327" max="15358" width="13.54296875" style="452" customWidth="1"/>
    <col min="15359" max="15359" width="48.54296875" style="452" customWidth="1"/>
    <col min="15360" max="15578" width="11.453125" style="452"/>
    <col min="15579" max="15579" width="5.54296875" style="452" customWidth="1"/>
    <col min="15580" max="15580" width="23.453125" style="452" customWidth="1"/>
    <col min="15581" max="15581" width="22.54296875" style="452" customWidth="1"/>
    <col min="15582" max="15582" width="14.453125" style="452" customWidth="1"/>
    <col min="15583" max="15614" width="13.54296875" style="452" customWidth="1"/>
    <col min="15615" max="15615" width="48.54296875" style="452" customWidth="1"/>
    <col min="15616" max="15834" width="11.453125" style="452"/>
    <col min="15835" max="15835" width="5.54296875" style="452" customWidth="1"/>
    <col min="15836" max="15836" width="23.453125" style="452" customWidth="1"/>
    <col min="15837" max="15837" width="22.54296875" style="452" customWidth="1"/>
    <col min="15838" max="15838" width="14.453125" style="452" customWidth="1"/>
    <col min="15839" max="15870" width="13.54296875" style="452" customWidth="1"/>
    <col min="15871" max="15871" width="48.54296875" style="452" customWidth="1"/>
    <col min="15872" max="16090" width="11.453125" style="452"/>
    <col min="16091" max="16091" width="5.54296875" style="452" customWidth="1"/>
    <col min="16092" max="16092" width="23.453125" style="452" customWidth="1"/>
    <col min="16093" max="16093" width="22.54296875" style="452" customWidth="1"/>
    <col min="16094" max="16094" width="14.453125" style="452" customWidth="1"/>
    <col min="16095" max="16126" width="13.54296875" style="452" customWidth="1"/>
    <col min="16127" max="16127" width="48.54296875" style="452" customWidth="1"/>
    <col min="16128" max="16384" width="11.453125" style="452"/>
  </cols>
  <sheetData>
    <row r="1" spans="1:6" s="297" customFormat="1" ht="21" customHeight="1">
      <c r="A1" s="302"/>
      <c r="B1" s="291" t="s">
        <v>364</v>
      </c>
    </row>
    <row r="2" spans="1:6" s="297" customFormat="1" ht="15" customHeight="1">
      <c r="A2" s="295" t="s">
        <v>1</v>
      </c>
      <c r="B2" s="319"/>
    </row>
    <row r="3" spans="1:6" s="395" customFormat="1" ht="15" customHeight="1">
      <c r="A3" s="302"/>
      <c r="B3" s="320" t="s">
        <v>365</v>
      </c>
      <c r="C3" s="423"/>
      <c r="D3" s="423"/>
      <c r="E3" s="424"/>
    </row>
    <row r="4" spans="1:6" s="297" customFormat="1" ht="15" customHeight="1">
      <c r="B4" s="405" t="s">
        <v>1430</v>
      </c>
      <c r="C4" s="405" t="s">
        <v>126</v>
      </c>
      <c r="D4" s="405" t="s">
        <v>81</v>
      </c>
      <c r="E4" s="425" t="s">
        <v>142</v>
      </c>
    </row>
    <row r="5" spans="1:6" s="297" customFormat="1" ht="15" customHeight="1">
      <c r="A5" s="302"/>
      <c r="B5" s="360" t="s">
        <v>1511</v>
      </c>
      <c r="C5" s="348">
        <f>Eriheited!G227</f>
        <v>6.895304454514524E-2</v>
      </c>
      <c r="D5" s="332" t="s">
        <v>2017</v>
      </c>
      <c r="E5" s="323" t="s">
        <v>1941</v>
      </c>
    </row>
    <row r="6" spans="1:6" s="297" customFormat="1" ht="15" customHeight="1">
      <c r="A6" s="302"/>
      <c r="B6" s="360" t="s">
        <v>1512</v>
      </c>
      <c r="C6" s="348">
        <f>Eriheited!G228</f>
        <v>0.13200002095825417</v>
      </c>
      <c r="D6" s="332" t="s">
        <v>2017</v>
      </c>
      <c r="E6" s="323" t="s">
        <v>1941</v>
      </c>
    </row>
    <row r="7" spans="1:6" s="297" customFormat="1" ht="15" customHeight="1">
      <c r="A7" s="302"/>
      <c r="B7" s="360" t="s">
        <v>1513</v>
      </c>
      <c r="C7" s="348">
        <f>Eriheited!G229</f>
        <v>0.12434064175918126</v>
      </c>
      <c r="D7" s="332" t="s">
        <v>2017</v>
      </c>
      <c r="E7" s="323" t="s">
        <v>1941</v>
      </c>
    </row>
    <row r="8" spans="1:6" s="297" customFormat="1" ht="15" customHeight="1">
      <c r="A8" s="302"/>
      <c r="B8" s="360" t="s">
        <v>1428</v>
      </c>
      <c r="C8" s="348">
        <f>Eriheited!G230</f>
        <v>5.6596126686138094E-2</v>
      </c>
      <c r="D8" s="332" t="s">
        <v>2017</v>
      </c>
      <c r="E8" s="323" t="s">
        <v>1941</v>
      </c>
    </row>
    <row r="9" spans="1:6" s="297" customFormat="1" ht="15" customHeight="1">
      <c r="A9" s="302"/>
      <c r="B9" s="360" t="s">
        <v>1727</v>
      </c>
      <c r="C9" s="348">
        <f>Eriheited!G231</f>
        <v>7.8774591971879945E-4</v>
      </c>
      <c r="D9" s="332" t="s">
        <v>2017</v>
      </c>
      <c r="E9" s="332" t="s">
        <v>1895</v>
      </c>
    </row>
    <row r="10" spans="1:6" s="297" customFormat="1" ht="15" customHeight="1">
      <c r="A10" s="302"/>
      <c r="B10" s="360" t="s">
        <v>1728</v>
      </c>
      <c r="C10" s="348">
        <f>Eriheited!G232</f>
        <v>0.15655277608768631</v>
      </c>
      <c r="D10" s="332" t="s">
        <v>2017</v>
      </c>
      <c r="E10" s="323" t="s">
        <v>1941</v>
      </c>
    </row>
    <row r="11" spans="1:6" s="297" customFormat="1" ht="15" customHeight="1">
      <c r="A11" s="302"/>
      <c r="B11" s="383" t="s">
        <v>2239</v>
      </c>
      <c r="C11" s="348">
        <f>Eriheited!G233</f>
        <v>0.14432171666978094</v>
      </c>
      <c r="D11" s="332" t="s">
        <v>2017</v>
      </c>
      <c r="E11" s="332" t="s">
        <v>2215</v>
      </c>
    </row>
    <row r="12" spans="1:6" s="297" customFormat="1" ht="15" customHeight="1">
      <c r="A12" s="302"/>
      <c r="B12" s="383" t="s">
        <v>2241</v>
      </c>
      <c r="C12" s="348">
        <f>Eriheited!G235</f>
        <v>0.17615071666978094</v>
      </c>
      <c r="D12" s="332" t="s">
        <v>2017</v>
      </c>
      <c r="E12" s="332" t="s">
        <v>2219</v>
      </c>
    </row>
    <row r="13" spans="1:6" s="297" customFormat="1" ht="15" customHeight="1">
      <c r="A13" s="302"/>
      <c r="B13" s="383" t="s">
        <v>2240</v>
      </c>
      <c r="C13" s="348">
        <f>Eriheited!G234</f>
        <v>0.12964175001153405</v>
      </c>
      <c r="D13" s="332" t="s">
        <v>2017</v>
      </c>
      <c r="E13" s="332" t="s">
        <v>2215</v>
      </c>
    </row>
    <row r="14" spans="1:6" s="297" customFormat="1" ht="15" customHeight="1">
      <c r="A14" s="302"/>
      <c r="B14" s="383" t="s">
        <v>2242</v>
      </c>
      <c r="C14" s="348">
        <f>Eriheited!G236</f>
        <v>0.16147075001153405</v>
      </c>
      <c r="D14" s="332" t="s">
        <v>2017</v>
      </c>
      <c r="E14" s="332" t="s">
        <v>2219</v>
      </c>
    </row>
    <row r="15" spans="1:6" s="297" customFormat="1" ht="15" customHeight="1">
      <c r="B15" s="360" t="s">
        <v>1510</v>
      </c>
      <c r="C15" s="348">
        <f>Eriheited!G237</f>
        <v>0</v>
      </c>
      <c r="D15" s="332" t="s">
        <v>2017</v>
      </c>
      <c r="E15" s="323" t="s">
        <v>146</v>
      </c>
      <c r="F15" s="452"/>
    </row>
    <row r="16" spans="1:6" s="297" customFormat="1" ht="15" customHeight="1">
      <c r="B16" s="338" t="s">
        <v>1874</v>
      </c>
      <c r="C16" s="348">
        <f>Eriheited!G238</f>
        <v>0.12731600000000001</v>
      </c>
      <c r="D16" s="332" t="s">
        <v>2017</v>
      </c>
      <c r="E16" s="332" t="s">
        <v>2220</v>
      </c>
      <c r="F16" s="452"/>
    </row>
    <row r="17" spans="1:6" s="297" customFormat="1" ht="15" customHeight="1">
      <c r="A17" s="302"/>
      <c r="B17" s="360" t="s">
        <v>1729</v>
      </c>
      <c r="C17" s="348">
        <f>Eriheited!G239</f>
        <v>0.16231598784654178</v>
      </c>
      <c r="D17" s="332" t="s">
        <v>2017</v>
      </c>
      <c r="E17" s="323" t="s">
        <v>1941</v>
      </c>
    </row>
    <row r="18" spans="1:6" s="297" customFormat="1" ht="15" customHeight="1">
      <c r="B18" s="426" t="s">
        <v>1465</v>
      </c>
      <c r="C18" s="348">
        <f>Eriheited!G240</f>
        <v>0.19120832501511228</v>
      </c>
      <c r="D18" s="332" t="s">
        <v>2017</v>
      </c>
      <c r="E18" s="323" t="s">
        <v>1941</v>
      </c>
      <c r="F18" s="452"/>
    </row>
    <row r="19" spans="1:6" s="297" customFormat="1" ht="15" customHeight="1">
      <c r="B19" s="426" t="s">
        <v>1466</v>
      </c>
      <c r="C19" s="348">
        <f>Eriheited!G241</f>
        <v>8.093991289471315E-3</v>
      </c>
      <c r="D19" s="332" t="s">
        <v>2017</v>
      </c>
      <c r="E19" s="323" t="s">
        <v>367</v>
      </c>
      <c r="F19" s="452"/>
    </row>
    <row r="20" spans="1:6" s="297" customFormat="1" ht="15" customHeight="1">
      <c r="B20" s="426" t="s">
        <v>1467</v>
      </c>
      <c r="C20" s="348">
        <f>Eriheited!G242</f>
        <v>1.9951640983688428E-3</v>
      </c>
      <c r="D20" s="332" t="s">
        <v>2017</v>
      </c>
      <c r="E20" s="323" t="s">
        <v>366</v>
      </c>
      <c r="F20" s="452"/>
    </row>
    <row r="21" spans="1:6" s="297" customFormat="1" ht="15" customHeight="1">
      <c r="B21" s="426" t="s">
        <v>1468</v>
      </c>
      <c r="C21" s="348">
        <f>Eriheited!G243</f>
        <v>0.15060969005304506</v>
      </c>
      <c r="D21" s="332" t="s">
        <v>2017</v>
      </c>
      <c r="E21" s="323" t="s">
        <v>1941</v>
      </c>
    </row>
    <row r="22" spans="1:6" s="297" customFormat="1" ht="15" customHeight="1">
      <c r="B22" s="427" t="s">
        <v>1477</v>
      </c>
      <c r="C22" s="348">
        <f>Eriheited!G244</f>
        <v>0.11987633056454484</v>
      </c>
      <c r="D22" s="332" t="s">
        <v>2017</v>
      </c>
      <c r="E22" s="323" t="s">
        <v>1941</v>
      </c>
    </row>
    <row r="23" spans="1:6" s="297" customFormat="1" ht="15" customHeight="1">
      <c r="A23" s="302"/>
      <c r="B23" s="426" t="s">
        <v>1469</v>
      </c>
      <c r="C23" s="348">
        <f>Eriheited!G245</f>
        <v>0.24403339431076276</v>
      </c>
      <c r="D23" s="332" t="s">
        <v>2017</v>
      </c>
      <c r="E23" s="323" t="s">
        <v>1941</v>
      </c>
    </row>
    <row r="24" spans="1:6" s="297" customFormat="1" ht="15" customHeight="1">
      <c r="A24" s="302"/>
      <c r="B24" s="426" t="s">
        <v>1470</v>
      </c>
      <c r="C24" s="348">
        <f>Eriheited!G246</f>
        <v>1.0833388430693966E-2</v>
      </c>
      <c r="D24" s="332" t="s">
        <v>2017</v>
      </c>
      <c r="E24" s="323" t="s">
        <v>367</v>
      </c>
    </row>
    <row r="25" spans="1:6" s="297" customFormat="1" ht="15" customHeight="1">
      <c r="B25" s="426" t="s">
        <v>1471</v>
      </c>
      <c r="C25" s="348">
        <f>Eriheited!G247</f>
        <v>2.6704238845328423E-3</v>
      </c>
      <c r="D25" s="332" t="s">
        <v>2017</v>
      </c>
      <c r="E25" s="323" t="s">
        <v>366</v>
      </c>
    </row>
    <row r="26" spans="1:6" s="297" customFormat="1" ht="15" customHeight="1">
      <c r="A26" s="302"/>
      <c r="B26" s="426" t="s">
        <v>1472</v>
      </c>
      <c r="C26" s="348">
        <f>Eriheited!G248</f>
        <v>0.20158327522460634</v>
      </c>
      <c r="D26" s="332" t="s">
        <v>2017</v>
      </c>
      <c r="E26" s="323" t="s">
        <v>1941</v>
      </c>
    </row>
    <row r="27" spans="1:6" s="297" customFormat="1" ht="15" customHeight="1">
      <c r="A27" s="302"/>
      <c r="B27" s="427" t="s">
        <v>1478</v>
      </c>
      <c r="C27" s="348">
        <f>Eriheited!G249</f>
        <v>0.12644023246913397</v>
      </c>
      <c r="D27" s="332" t="s">
        <v>2017</v>
      </c>
      <c r="E27" s="323" t="s">
        <v>1941</v>
      </c>
    </row>
    <row r="28" spans="1:6" s="297" customFormat="1" ht="15" customHeight="1">
      <c r="A28" s="302"/>
      <c r="B28" s="360" t="s">
        <v>1726</v>
      </c>
      <c r="C28" s="348">
        <f>Eriheited!G250</f>
        <v>0.17857103229051885</v>
      </c>
      <c r="D28" s="332" t="s">
        <v>2017</v>
      </c>
      <c r="E28" s="323" t="s">
        <v>1896</v>
      </c>
    </row>
    <row r="29" spans="1:6" s="297" customFormat="1" ht="15" customHeight="1">
      <c r="A29" s="302"/>
      <c r="B29" s="426" t="s">
        <v>1721</v>
      </c>
      <c r="C29" s="348">
        <f>Eriheited!G252</f>
        <v>0.18053987907914804</v>
      </c>
      <c r="D29" s="332" t="s">
        <v>2017</v>
      </c>
      <c r="E29" s="323" t="s">
        <v>1898</v>
      </c>
    </row>
    <row r="30" spans="1:6" s="297" customFormat="1" ht="15" customHeight="1">
      <c r="B30" s="426" t="s">
        <v>1720</v>
      </c>
      <c r="C30" s="348">
        <f>Eriheited!G251</f>
        <v>0.1924289555597079</v>
      </c>
      <c r="D30" s="332" t="s">
        <v>2017</v>
      </c>
      <c r="E30" s="323" t="s">
        <v>1897</v>
      </c>
    </row>
    <row r="31" spans="1:6" s="297" customFormat="1" ht="15" customHeight="1">
      <c r="A31" s="302"/>
      <c r="B31" s="426" t="s">
        <v>1722</v>
      </c>
      <c r="C31" s="348">
        <f>Eriheited!G253</f>
        <v>9.2895235357530401E-3</v>
      </c>
      <c r="D31" s="332" t="s">
        <v>2017</v>
      </c>
      <c r="E31" s="323" t="s">
        <v>2270</v>
      </c>
    </row>
    <row r="32" spans="1:6" s="297" customFormat="1" ht="15" customHeight="1">
      <c r="A32" s="302"/>
      <c r="B32" s="426" t="s">
        <v>1723</v>
      </c>
      <c r="C32" s="348">
        <f>Eriheited!G254</f>
        <v>2.2898620948105164E-3</v>
      </c>
      <c r="D32" s="332" t="s">
        <v>2017</v>
      </c>
      <c r="E32" s="323" t="s">
        <v>2271</v>
      </c>
    </row>
    <row r="33" spans="1:26" s="297" customFormat="1" ht="15" customHeight="1">
      <c r="B33" s="426" t="s">
        <v>1724</v>
      </c>
      <c r="C33" s="348">
        <f>Eriheited!G255</f>
        <v>0.17285566668204541</v>
      </c>
      <c r="D33" s="332" t="s">
        <v>2017</v>
      </c>
      <c r="E33" s="323" t="s">
        <v>1899</v>
      </c>
    </row>
    <row r="34" spans="1:26" s="297" customFormat="1" ht="15" customHeight="1">
      <c r="A34" s="302"/>
      <c r="B34" s="427" t="s">
        <v>1725</v>
      </c>
      <c r="C34" s="348">
        <f>Eriheited!G256</f>
        <v>0.12247907183070279</v>
      </c>
      <c r="D34" s="332" t="s">
        <v>2017</v>
      </c>
      <c r="E34" s="427" t="s">
        <v>1900</v>
      </c>
    </row>
    <row r="35" spans="1:26" s="297" customFormat="1" ht="15" customHeight="1">
      <c r="A35" s="302"/>
      <c r="B35" s="426" t="s">
        <v>1473</v>
      </c>
      <c r="C35" s="348">
        <f>Eriheited!G257</f>
        <v>0.16174245288907316</v>
      </c>
      <c r="D35" s="332" t="s">
        <v>2017</v>
      </c>
      <c r="E35" s="323" t="s">
        <v>1941</v>
      </c>
    </row>
    <row r="36" spans="1:26" s="297" customFormat="1" ht="15" customHeight="1">
      <c r="A36" s="302"/>
      <c r="B36" s="426" t="s">
        <v>1474</v>
      </c>
      <c r="C36" s="348">
        <f>Eriheited!G258</f>
        <v>8.0830600737259416E-3</v>
      </c>
      <c r="D36" s="332" t="s">
        <v>2017</v>
      </c>
      <c r="E36" s="323" t="s">
        <v>367</v>
      </c>
    </row>
    <row r="37" spans="1:26" s="297" customFormat="1" ht="15" customHeight="1">
      <c r="A37" s="302"/>
      <c r="B37" s="426" t="s">
        <v>1475</v>
      </c>
      <c r="C37" s="348">
        <f>Eriheited!G259</f>
        <v>1.9924695601087061E-3</v>
      </c>
      <c r="D37" s="332" t="s">
        <v>2017</v>
      </c>
      <c r="E37" s="323" t="s">
        <v>366</v>
      </c>
    </row>
    <row r="38" spans="1:26" s="297" customFormat="1" ht="15" customHeight="1">
      <c r="A38" s="302"/>
      <c r="B38" s="428" t="s">
        <v>1476</v>
      </c>
      <c r="C38" s="348">
        <f>Eriheited!G260</f>
        <v>0.15040628644703238</v>
      </c>
      <c r="D38" s="332" t="s">
        <v>2017</v>
      </c>
      <c r="E38" s="323" t="s">
        <v>1941</v>
      </c>
    </row>
    <row r="39" spans="1:26" s="395" customFormat="1" ht="15" customHeight="1">
      <c r="A39" s="297"/>
      <c r="B39" s="429" t="s">
        <v>1479</v>
      </c>
      <c r="C39" s="348">
        <f>Eriheited!G261</f>
        <v>0.1199122049405849</v>
      </c>
      <c r="D39" s="332" t="s">
        <v>2017</v>
      </c>
      <c r="E39" s="323" t="s">
        <v>1941</v>
      </c>
    </row>
    <row r="40" spans="1:26" s="297" customFormat="1" ht="15" customHeight="1">
      <c r="A40" s="302"/>
      <c r="B40" s="430" t="s">
        <v>1480</v>
      </c>
      <c r="C40" s="348">
        <f>Eriheited!G262</f>
        <v>0.18053987907914804</v>
      </c>
      <c r="D40" s="332" t="s">
        <v>2017</v>
      </c>
      <c r="E40" s="323" t="s">
        <v>1898</v>
      </c>
    </row>
    <row r="41" spans="1:26" s="395" customFormat="1" ht="15" customHeight="1">
      <c r="A41" s="297"/>
      <c r="B41" s="432"/>
      <c r="C41" s="433"/>
      <c r="D41" s="433"/>
      <c r="E41" s="297"/>
      <c r="F41" s="297"/>
    </row>
    <row r="42" spans="1:26" ht="15" customHeight="1">
      <c r="B42" s="432"/>
      <c r="C42" s="433"/>
      <c r="D42" s="433"/>
      <c r="E42" s="297"/>
      <c r="F42" s="297"/>
      <c r="G42" s="443"/>
      <c r="H42" s="443"/>
      <c r="I42" s="443"/>
      <c r="J42" s="443"/>
      <c r="K42" s="443"/>
      <c r="L42" s="443"/>
      <c r="M42" s="443"/>
      <c r="N42" s="443"/>
      <c r="O42" s="443"/>
      <c r="P42" s="443"/>
      <c r="Q42" s="443"/>
      <c r="R42" s="443"/>
      <c r="S42" s="443"/>
      <c r="T42" s="443"/>
      <c r="U42" s="443"/>
      <c r="V42" s="443"/>
      <c r="W42" s="443"/>
      <c r="X42" s="443"/>
      <c r="Y42" s="443"/>
      <c r="Z42" s="443"/>
    </row>
    <row r="43" spans="1:26" s="395" customFormat="1" ht="15" customHeight="1">
      <c r="A43" s="302"/>
      <c r="B43" s="405" t="s">
        <v>345</v>
      </c>
      <c r="C43" s="405" t="s">
        <v>126</v>
      </c>
      <c r="D43" s="405" t="s">
        <v>81</v>
      </c>
      <c r="E43" s="405" t="s">
        <v>142</v>
      </c>
      <c r="F43" s="297"/>
      <c r="G43" s="297"/>
    </row>
    <row r="44" spans="1:26" s="395" customFormat="1" ht="15" customHeight="1">
      <c r="A44" s="302"/>
      <c r="B44" s="332" t="s">
        <v>1491</v>
      </c>
      <c r="C44" s="398">
        <f>(0.29*'HT-Sõidukikütused (M1)'!$C$31)*14751000/317927500</f>
        <v>3.5597503422040169E-2</v>
      </c>
      <c r="D44" s="332" t="s">
        <v>2019</v>
      </c>
      <c r="E44" s="332" t="s">
        <v>1849</v>
      </c>
    </row>
    <row r="45" spans="1:26" s="395" customFormat="1" ht="15" customHeight="1">
      <c r="A45" s="302"/>
      <c r="B45" s="332" t="s">
        <v>1492</v>
      </c>
      <c r="C45" s="431">
        <v>0.10227</v>
      </c>
      <c r="D45" s="332" t="s">
        <v>2019</v>
      </c>
      <c r="E45" s="323" t="s">
        <v>315</v>
      </c>
      <c r="F45" s="297"/>
      <c r="G45" s="297"/>
      <c r="H45" s="297"/>
    </row>
    <row r="46" spans="1:26" s="395" customFormat="1" ht="15" customHeight="1">
      <c r="A46" s="302"/>
      <c r="B46" s="332" t="s">
        <v>1489</v>
      </c>
      <c r="C46" s="346">
        <f>(0.43*('HT-Sõidukikütused (M1)'!$C$31+'HT-Sõidukikütused (M1)'!$C$29)/2)*31958100/264215433.78</f>
        <v>0.13962124099556508</v>
      </c>
      <c r="D46" s="332" t="s">
        <v>2019</v>
      </c>
      <c r="E46" s="332" t="s">
        <v>369</v>
      </c>
      <c r="F46" s="297"/>
      <c r="G46" s="297"/>
      <c r="H46" s="297"/>
    </row>
    <row r="47" spans="1:26" s="395" customFormat="1" ht="15" customHeight="1">
      <c r="A47" s="302"/>
      <c r="B47" s="332" t="s">
        <v>1490</v>
      </c>
      <c r="C47" s="346">
        <f>(0.25*'HT-Sõidukikütused (M1)'!$C$31)*49946300/310544600</f>
        <v>0.10637694721086439</v>
      </c>
      <c r="D47" s="332" t="s">
        <v>2019</v>
      </c>
      <c r="E47" s="332" t="s">
        <v>1849</v>
      </c>
      <c r="F47" s="297"/>
      <c r="G47" s="297"/>
      <c r="H47" s="297"/>
    </row>
    <row r="48" spans="1:26" s="395" customFormat="1" ht="15" customHeight="1">
      <c r="A48" s="302"/>
      <c r="B48" s="408" t="s">
        <v>1483</v>
      </c>
      <c r="C48" s="431">
        <v>0.15353000000000003</v>
      </c>
      <c r="D48" s="332" t="s">
        <v>2019</v>
      </c>
      <c r="E48" s="323" t="s">
        <v>315</v>
      </c>
      <c r="F48" s="297"/>
      <c r="G48" s="297"/>
    </row>
    <row r="49" spans="1:25" s="395" customFormat="1" ht="15" customHeight="1">
      <c r="A49" s="302"/>
      <c r="B49" s="408" t="s">
        <v>1484</v>
      </c>
      <c r="C49" s="431">
        <v>0.15102000000000002</v>
      </c>
      <c r="D49" s="332" t="s">
        <v>2019</v>
      </c>
      <c r="E49" s="323" t="s">
        <v>315</v>
      </c>
      <c r="F49" s="297"/>
      <c r="G49" s="297"/>
    </row>
    <row r="50" spans="1:25" s="395" customFormat="1" ht="15" customHeight="1">
      <c r="A50" s="302"/>
      <c r="B50" s="408" t="s">
        <v>1485</v>
      </c>
      <c r="C50" s="431">
        <v>0.22652000000000003</v>
      </c>
      <c r="D50" s="332" t="s">
        <v>2019</v>
      </c>
      <c r="E50" s="323" t="s">
        <v>315</v>
      </c>
      <c r="F50" s="297"/>
      <c r="G50" s="297"/>
    </row>
    <row r="51" spans="1:25" s="395" customFormat="1" ht="15" customHeight="1">
      <c r="A51" s="302"/>
      <c r="B51" s="408" t="s">
        <v>1487</v>
      </c>
      <c r="C51" s="431">
        <v>0.59147000000000005</v>
      </c>
      <c r="D51" s="332" t="s">
        <v>2019</v>
      </c>
      <c r="E51" s="323" t="s">
        <v>315</v>
      </c>
    </row>
    <row r="52" spans="1:25" ht="15" customHeight="1">
      <c r="B52" s="434" t="s">
        <v>1488</v>
      </c>
      <c r="C52" s="431">
        <v>0.19309000000000001</v>
      </c>
      <c r="D52" s="332" t="s">
        <v>2019</v>
      </c>
      <c r="E52" s="323" t="s">
        <v>315</v>
      </c>
      <c r="F52" s="443"/>
      <c r="G52" s="443"/>
      <c r="H52" s="443"/>
      <c r="I52" s="443"/>
      <c r="J52" s="443"/>
      <c r="K52" s="443"/>
      <c r="L52" s="443"/>
      <c r="M52" s="443"/>
      <c r="N52" s="443"/>
      <c r="O52" s="443"/>
      <c r="P52" s="443"/>
      <c r="Q52" s="443"/>
      <c r="R52" s="443"/>
      <c r="S52" s="443"/>
      <c r="T52" s="443"/>
      <c r="U52" s="443"/>
      <c r="V52" s="443"/>
      <c r="W52" s="443"/>
      <c r="X52" s="443"/>
      <c r="Y52" s="443"/>
    </row>
    <row r="53" spans="1:25" ht="15" customHeight="1">
      <c r="B53" s="434" t="s">
        <v>1493</v>
      </c>
      <c r="C53" s="431">
        <v>0.14787000000000003</v>
      </c>
      <c r="D53" s="332" t="s">
        <v>2019</v>
      </c>
      <c r="E53" s="323" t="s">
        <v>315</v>
      </c>
      <c r="F53" s="443"/>
      <c r="G53" s="443"/>
      <c r="H53" s="443"/>
      <c r="I53" s="443"/>
      <c r="J53" s="443"/>
      <c r="K53" s="443"/>
      <c r="L53" s="443"/>
      <c r="M53" s="443"/>
      <c r="N53" s="443"/>
      <c r="O53" s="443"/>
      <c r="P53" s="443"/>
      <c r="Q53" s="443"/>
      <c r="R53" s="443"/>
      <c r="S53" s="443"/>
      <c r="T53" s="443"/>
      <c r="U53" s="443"/>
      <c r="V53" s="443"/>
      <c r="W53" s="443"/>
      <c r="X53" s="443"/>
      <c r="Y53" s="443"/>
    </row>
    <row r="54" spans="1:25" ht="15" customHeight="1">
      <c r="B54" s="434" t="s">
        <v>1494</v>
      </c>
      <c r="C54" s="431">
        <v>0.42882000000000003</v>
      </c>
      <c r="D54" s="332" t="s">
        <v>2019</v>
      </c>
      <c r="E54" s="323" t="s">
        <v>315</v>
      </c>
      <c r="F54" s="443"/>
      <c r="G54" s="443"/>
      <c r="H54" s="443"/>
      <c r="I54" s="443"/>
      <c r="J54" s="443"/>
      <c r="K54" s="443"/>
      <c r="L54" s="443"/>
      <c r="M54" s="443"/>
      <c r="N54" s="443"/>
      <c r="O54" s="443"/>
      <c r="P54" s="443"/>
      <c r="Q54" s="443"/>
      <c r="R54" s="443"/>
      <c r="S54" s="443"/>
      <c r="T54" s="443"/>
      <c r="U54" s="443"/>
      <c r="V54" s="443"/>
      <c r="W54" s="443"/>
      <c r="X54" s="443"/>
      <c r="Y54" s="443"/>
    </row>
    <row r="55" spans="1:25" ht="15" customHeight="1">
      <c r="B55" s="435" t="s">
        <v>1486</v>
      </c>
      <c r="C55" s="431">
        <v>0.24586999999999998</v>
      </c>
      <c r="D55" s="332" t="s">
        <v>2019</v>
      </c>
      <c r="E55" s="323" t="s">
        <v>315</v>
      </c>
      <c r="F55" s="443"/>
      <c r="G55" s="443"/>
      <c r="H55" s="443"/>
      <c r="I55" s="443"/>
      <c r="J55" s="443"/>
      <c r="K55" s="443"/>
      <c r="L55" s="443"/>
      <c r="M55" s="443"/>
      <c r="N55" s="443"/>
      <c r="O55" s="443"/>
      <c r="P55" s="443"/>
      <c r="Q55" s="443"/>
      <c r="R55" s="443"/>
      <c r="S55" s="443"/>
      <c r="T55" s="443"/>
      <c r="U55" s="443"/>
      <c r="V55" s="443"/>
      <c r="W55" s="443"/>
      <c r="X55" s="443"/>
      <c r="Y55" s="443"/>
    </row>
    <row r="56" spans="1:25" ht="15" customHeight="1">
      <c r="B56" s="434" t="s">
        <v>1495</v>
      </c>
      <c r="C56" s="431">
        <v>1.8737999999999998E-2</v>
      </c>
      <c r="D56" s="332" t="s">
        <v>2019</v>
      </c>
      <c r="E56" s="323" t="s">
        <v>315</v>
      </c>
      <c r="F56" s="443"/>
      <c r="G56" s="443"/>
      <c r="H56" s="443"/>
      <c r="I56" s="443"/>
      <c r="J56" s="443"/>
      <c r="K56" s="443"/>
      <c r="L56" s="443"/>
      <c r="M56" s="443"/>
      <c r="N56" s="443"/>
      <c r="O56" s="443"/>
      <c r="P56" s="443"/>
      <c r="Q56" s="443"/>
      <c r="R56" s="443"/>
      <c r="S56" s="443"/>
      <c r="T56" s="443"/>
      <c r="U56" s="443"/>
      <c r="V56" s="443"/>
      <c r="W56" s="443"/>
      <c r="X56" s="443"/>
      <c r="Y56" s="443"/>
    </row>
    <row r="57" spans="1:25" s="395" customFormat="1" ht="15" customHeight="1">
      <c r="A57" s="297"/>
      <c r="B57" s="434" t="s">
        <v>1555</v>
      </c>
      <c r="C57" s="431">
        <v>4.4599999999999996E-3</v>
      </c>
      <c r="D57" s="332" t="s">
        <v>2019</v>
      </c>
      <c r="E57" s="323" t="s">
        <v>315</v>
      </c>
    </row>
    <row r="58" spans="1:25" s="395" customFormat="1" ht="15" customHeight="1">
      <c r="A58" s="302"/>
      <c r="B58" s="434" t="s">
        <v>1499</v>
      </c>
      <c r="C58" s="867">
        <v>0</v>
      </c>
      <c r="D58" s="332" t="s">
        <v>2019</v>
      </c>
      <c r="E58" s="323" t="s">
        <v>146</v>
      </c>
      <c r="F58" s="297"/>
      <c r="G58" s="297"/>
      <c r="H58" s="297"/>
    </row>
    <row r="59" spans="1:25" ht="15" customHeight="1">
      <c r="A59" s="297"/>
      <c r="B59" s="434" t="s">
        <v>1481</v>
      </c>
      <c r="C59" s="436">
        <v>0</v>
      </c>
      <c r="D59" s="332" t="s">
        <v>2019</v>
      </c>
      <c r="E59" s="323" t="s">
        <v>146</v>
      </c>
      <c r="F59" s="443"/>
      <c r="G59" s="443"/>
      <c r="H59" s="443"/>
      <c r="I59" s="443"/>
      <c r="J59" s="443"/>
      <c r="K59" s="443"/>
      <c r="L59" s="443"/>
      <c r="M59" s="443"/>
      <c r="N59" s="443"/>
      <c r="O59" s="443"/>
      <c r="P59" s="443"/>
      <c r="Q59" s="443"/>
      <c r="R59" s="443"/>
      <c r="S59" s="443"/>
      <c r="T59" s="443"/>
      <c r="U59" s="443"/>
      <c r="V59" s="443"/>
      <c r="W59" s="443"/>
      <c r="X59" s="443"/>
      <c r="Y59" s="443"/>
    </row>
    <row r="60" spans="1:25" ht="15" customHeight="1">
      <c r="B60" s="434" t="s">
        <v>1482</v>
      </c>
      <c r="C60" s="346">
        <f>(1.62*'HT-Sõidukikütused (M1)'!$C$13)*3815188/218374000</f>
        <v>8.2569295647856603E-2</v>
      </c>
      <c r="D60" s="332" t="s">
        <v>2019</v>
      </c>
      <c r="E60" s="332" t="s">
        <v>1851</v>
      </c>
      <c r="F60" s="443"/>
      <c r="G60" s="443"/>
      <c r="H60" s="443"/>
      <c r="I60" s="443"/>
      <c r="J60" s="443"/>
      <c r="K60" s="443"/>
      <c r="L60" s="443"/>
      <c r="M60" s="443"/>
      <c r="N60" s="443"/>
      <c r="O60" s="443"/>
      <c r="P60" s="443"/>
      <c r="Q60" s="443"/>
      <c r="R60" s="443"/>
      <c r="S60" s="443"/>
      <c r="T60" s="443"/>
      <c r="U60" s="443"/>
      <c r="V60" s="443"/>
      <c r="W60" s="443"/>
      <c r="X60" s="443"/>
      <c r="Y60" s="443"/>
    </row>
    <row r="61" spans="1:25" s="395" customFormat="1" ht="15" customHeight="1">
      <c r="A61" s="302"/>
      <c r="B61" s="434" t="s">
        <v>1480</v>
      </c>
      <c r="C61" s="431">
        <v>0.127629410548775</v>
      </c>
      <c r="D61" s="332" t="s">
        <v>2019</v>
      </c>
      <c r="E61" s="430" t="s">
        <v>1850</v>
      </c>
      <c r="F61" s="297"/>
      <c r="G61" s="297"/>
    </row>
    <row r="62" spans="1:25" ht="15" customHeight="1">
      <c r="B62" s="434" t="s">
        <v>1497</v>
      </c>
      <c r="C62" s="431">
        <v>2.8000000000000001E-2</v>
      </c>
      <c r="D62" s="332" t="s">
        <v>2019</v>
      </c>
      <c r="E62" s="323" t="s">
        <v>315</v>
      </c>
      <c r="F62" s="443"/>
      <c r="G62" s="443"/>
      <c r="H62" s="443"/>
      <c r="I62" s="443"/>
      <c r="J62" s="443"/>
      <c r="K62" s="443"/>
      <c r="L62" s="443"/>
      <c r="M62" s="443"/>
      <c r="N62" s="443"/>
      <c r="O62" s="443"/>
      <c r="P62" s="443"/>
      <c r="Q62" s="443"/>
      <c r="R62" s="443"/>
      <c r="S62" s="443"/>
      <c r="T62" s="443"/>
      <c r="U62" s="443"/>
      <c r="V62" s="443"/>
      <c r="W62" s="443"/>
      <c r="X62" s="443"/>
      <c r="Y62" s="443"/>
    </row>
    <row r="63" spans="1:25" ht="15" customHeight="1">
      <c r="B63" s="434" t="s">
        <v>1498</v>
      </c>
      <c r="C63" s="436">
        <v>0</v>
      </c>
      <c r="D63" s="332" t="s">
        <v>2019</v>
      </c>
      <c r="E63" s="323" t="s">
        <v>146</v>
      </c>
      <c r="F63" s="443"/>
      <c r="G63" s="443"/>
      <c r="H63" s="443"/>
      <c r="I63" s="443"/>
      <c r="J63" s="443"/>
      <c r="K63" s="443"/>
      <c r="L63" s="443"/>
      <c r="M63" s="443"/>
      <c r="N63" s="443"/>
      <c r="O63" s="443"/>
      <c r="P63" s="443"/>
      <c r="Q63" s="443"/>
      <c r="R63" s="443"/>
      <c r="S63" s="443"/>
      <c r="T63" s="443"/>
      <c r="U63" s="443"/>
      <c r="V63" s="443"/>
      <c r="W63" s="443"/>
      <c r="X63" s="443"/>
      <c r="Y63" s="443"/>
    </row>
    <row r="64" spans="1:25" s="395" customFormat="1" ht="15" customHeight="1">
      <c r="A64" s="302"/>
      <c r="B64" s="408" t="s">
        <v>1496</v>
      </c>
      <c r="C64" s="436">
        <v>0</v>
      </c>
      <c r="D64" s="332" t="s">
        <v>2019</v>
      </c>
      <c r="E64" s="323" t="s">
        <v>146</v>
      </c>
      <c r="F64" s="297"/>
      <c r="G64" s="297"/>
      <c r="H64" s="297"/>
    </row>
    <row r="65" spans="2:26" ht="15" customHeight="1">
      <c r="B65" s="433"/>
      <c r="C65" s="433"/>
      <c r="D65" s="433"/>
      <c r="E65" s="433"/>
      <c r="F65" s="443"/>
      <c r="G65" s="443"/>
      <c r="H65" s="443"/>
      <c r="I65" s="443"/>
      <c r="J65" s="443"/>
      <c r="K65" s="443"/>
      <c r="L65" s="443"/>
      <c r="M65" s="443"/>
      <c r="N65" s="443"/>
      <c r="O65" s="443"/>
      <c r="P65" s="443"/>
      <c r="Q65" s="443"/>
      <c r="R65" s="443"/>
      <c r="S65" s="443"/>
      <c r="T65" s="443"/>
      <c r="U65" s="443"/>
      <c r="V65" s="443"/>
      <c r="W65" s="443"/>
      <c r="X65" s="443"/>
      <c r="Y65" s="443"/>
      <c r="Z65" s="443"/>
    </row>
    <row r="66" spans="2:26" ht="15" customHeight="1">
      <c r="B66" s="433"/>
      <c r="C66" s="433"/>
      <c r="D66" s="433"/>
      <c r="E66" s="433"/>
      <c r="F66" s="443"/>
      <c r="G66" s="443"/>
      <c r="H66" s="443"/>
      <c r="I66" s="443"/>
      <c r="J66" s="443"/>
      <c r="K66" s="443"/>
      <c r="L66" s="443"/>
      <c r="M66" s="443"/>
      <c r="N66" s="443"/>
      <c r="O66" s="443"/>
      <c r="P66" s="443"/>
      <c r="Q66" s="443"/>
      <c r="R66" s="443"/>
      <c r="S66" s="443"/>
      <c r="T66" s="443"/>
      <c r="U66" s="443"/>
      <c r="V66" s="443"/>
      <c r="W66" s="443"/>
      <c r="X66" s="443"/>
      <c r="Y66" s="443"/>
      <c r="Z66" s="443"/>
    </row>
    <row r="67" spans="2:26" ht="15" customHeight="1">
      <c r="B67" s="433"/>
      <c r="C67" s="433"/>
      <c r="D67" s="433"/>
      <c r="E67" s="433"/>
      <c r="F67" s="443"/>
      <c r="G67" s="443"/>
      <c r="H67" s="443"/>
      <c r="I67" s="443"/>
      <c r="J67" s="443"/>
      <c r="K67" s="443"/>
      <c r="L67" s="443"/>
      <c r="M67" s="443"/>
      <c r="N67" s="443"/>
      <c r="O67" s="443"/>
      <c r="P67" s="443"/>
      <c r="Q67" s="443"/>
      <c r="R67" s="443"/>
      <c r="S67" s="443"/>
      <c r="T67" s="443"/>
      <c r="U67" s="443"/>
      <c r="V67" s="443"/>
      <c r="W67" s="443"/>
      <c r="X67" s="443"/>
      <c r="Y67" s="443"/>
      <c r="Z67" s="443"/>
    </row>
    <row r="68" spans="2:26" ht="15" customHeight="1">
      <c r="B68" s="433"/>
      <c r="C68" s="433"/>
      <c r="D68" s="433"/>
      <c r="E68" s="433"/>
      <c r="F68" s="443"/>
      <c r="G68" s="443"/>
      <c r="H68" s="443"/>
      <c r="I68" s="443"/>
      <c r="J68" s="443"/>
      <c r="K68" s="443"/>
      <c r="L68" s="443"/>
      <c r="M68" s="443"/>
      <c r="N68" s="443"/>
      <c r="O68" s="443"/>
      <c r="P68" s="443"/>
      <c r="Q68" s="443"/>
      <c r="R68" s="443"/>
      <c r="S68" s="443"/>
      <c r="T68" s="443"/>
      <c r="U68" s="443"/>
      <c r="V68" s="443"/>
      <c r="W68" s="443"/>
      <c r="X68" s="443"/>
      <c r="Y68" s="443"/>
      <c r="Z68" s="443"/>
    </row>
    <row r="69" spans="2:26" ht="15" customHeight="1">
      <c r="B69" s="433"/>
      <c r="C69" s="433"/>
      <c r="D69" s="433"/>
      <c r="E69" s="433"/>
      <c r="F69" s="443"/>
      <c r="G69" s="443"/>
      <c r="H69" s="443"/>
      <c r="I69" s="443"/>
      <c r="J69" s="443"/>
      <c r="K69" s="443"/>
      <c r="L69" s="443"/>
      <c r="M69" s="443"/>
      <c r="N69" s="443"/>
      <c r="O69" s="443"/>
      <c r="P69" s="443"/>
      <c r="Q69" s="443"/>
      <c r="R69" s="443"/>
      <c r="S69" s="443"/>
      <c r="T69" s="443"/>
      <c r="U69" s="443"/>
      <c r="V69" s="443"/>
      <c r="W69" s="443"/>
      <c r="X69" s="443"/>
      <c r="Y69" s="443"/>
      <c r="Z69" s="443"/>
    </row>
    <row r="70" spans="2:26" ht="15" customHeight="1">
      <c r="B70" s="433"/>
      <c r="C70" s="433"/>
      <c r="D70" s="433"/>
      <c r="E70" s="433"/>
      <c r="F70" s="443"/>
      <c r="G70" s="443"/>
      <c r="H70" s="443"/>
      <c r="I70" s="443"/>
      <c r="J70" s="443"/>
      <c r="K70" s="443"/>
      <c r="L70" s="443"/>
      <c r="M70" s="443"/>
      <c r="N70" s="443"/>
      <c r="O70" s="443"/>
      <c r="P70" s="443"/>
      <c r="Q70" s="443"/>
      <c r="R70" s="443"/>
      <c r="S70" s="443"/>
      <c r="T70" s="443"/>
      <c r="U70" s="443"/>
      <c r="V70" s="443"/>
      <c r="W70" s="443"/>
      <c r="X70" s="443"/>
      <c r="Y70" s="443"/>
      <c r="Z70" s="443"/>
    </row>
    <row r="71" spans="2:26" ht="15" customHeight="1">
      <c r="B71" s="433"/>
      <c r="C71" s="433"/>
      <c r="D71" s="433"/>
      <c r="E71" s="433"/>
      <c r="F71" s="443"/>
      <c r="G71" s="443"/>
      <c r="H71" s="443"/>
      <c r="I71" s="443"/>
      <c r="J71" s="443"/>
      <c r="K71" s="443"/>
      <c r="L71" s="443"/>
      <c r="M71" s="443"/>
      <c r="N71" s="443"/>
      <c r="O71" s="443"/>
      <c r="P71" s="443"/>
      <c r="Q71" s="443"/>
      <c r="R71" s="443"/>
      <c r="S71" s="443"/>
      <c r="T71" s="443"/>
      <c r="U71" s="443"/>
      <c r="V71" s="443"/>
      <c r="W71" s="443"/>
      <c r="X71" s="443"/>
      <c r="Y71" s="443"/>
      <c r="Z71" s="443"/>
    </row>
    <row r="72" spans="2:26" ht="15" customHeight="1">
      <c r="B72" s="433"/>
      <c r="C72" s="433"/>
      <c r="D72" s="433"/>
      <c r="E72" s="433"/>
      <c r="F72" s="443"/>
      <c r="G72" s="443"/>
      <c r="H72" s="443"/>
      <c r="I72" s="443"/>
      <c r="J72" s="443"/>
      <c r="K72" s="443"/>
      <c r="L72" s="443"/>
      <c r="M72" s="443"/>
      <c r="N72" s="443"/>
      <c r="O72" s="443"/>
      <c r="P72" s="443"/>
      <c r="Q72" s="443"/>
      <c r="R72" s="443"/>
      <c r="S72" s="443"/>
      <c r="T72" s="443"/>
      <c r="U72" s="443"/>
      <c r="V72" s="443"/>
      <c r="W72" s="443"/>
      <c r="X72" s="443"/>
      <c r="Y72" s="443"/>
      <c r="Z72" s="443"/>
    </row>
    <row r="73" spans="2:26" ht="15" customHeight="1">
      <c r="B73" s="433"/>
      <c r="C73" s="433"/>
      <c r="D73" s="433"/>
      <c r="E73" s="433"/>
      <c r="F73" s="443"/>
      <c r="G73" s="443"/>
      <c r="H73" s="443"/>
      <c r="I73" s="443"/>
      <c r="J73" s="443"/>
      <c r="K73" s="443"/>
      <c r="L73" s="443"/>
      <c r="M73" s="443"/>
      <c r="N73" s="443"/>
      <c r="O73" s="443"/>
      <c r="P73" s="443"/>
      <c r="Q73" s="443"/>
      <c r="R73" s="443"/>
      <c r="S73" s="443"/>
      <c r="T73" s="443"/>
      <c r="U73" s="443"/>
      <c r="V73" s="443"/>
      <c r="W73" s="443"/>
      <c r="X73" s="443"/>
      <c r="Y73" s="443"/>
      <c r="Z73" s="443"/>
    </row>
    <row r="74" spans="2:26" ht="15" customHeight="1">
      <c r="B74" s="433"/>
      <c r="C74" s="433"/>
      <c r="D74" s="433"/>
      <c r="E74" s="433"/>
      <c r="F74" s="443"/>
      <c r="G74" s="443"/>
      <c r="H74" s="443"/>
      <c r="I74" s="443"/>
      <c r="J74" s="443"/>
      <c r="K74" s="443"/>
      <c r="L74" s="443"/>
      <c r="M74" s="443"/>
      <c r="N74" s="443"/>
      <c r="O74" s="443"/>
      <c r="P74" s="443"/>
      <c r="Q74" s="443"/>
      <c r="R74" s="443"/>
      <c r="S74" s="443"/>
      <c r="T74" s="443"/>
      <c r="U74" s="443"/>
      <c r="V74" s="443"/>
      <c r="W74" s="443"/>
      <c r="X74" s="443"/>
      <c r="Y74" s="443"/>
      <c r="Z74" s="443"/>
    </row>
    <row r="75" spans="2:26" ht="15" customHeight="1">
      <c r="B75" s="433"/>
      <c r="C75" s="433"/>
      <c r="D75" s="433"/>
      <c r="E75" s="433"/>
      <c r="F75" s="443"/>
      <c r="G75" s="443"/>
      <c r="H75" s="443"/>
      <c r="I75" s="443"/>
      <c r="J75" s="443"/>
      <c r="K75" s="443"/>
      <c r="L75" s="443"/>
      <c r="M75" s="443"/>
      <c r="N75" s="443"/>
      <c r="O75" s="443"/>
      <c r="P75" s="443"/>
      <c r="Q75" s="443"/>
      <c r="R75" s="443"/>
      <c r="S75" s="443"/>
      <c r="T75" s="443"/>
      <c r="U75" s="443"/>
      <c r="V75" s="443"/>
      <c r="W75" s="443"/>
      <c r="X75" s="443"/>
      <c r="Y75" s="443"/>
      <c r="Z75" s="443"/>
    </row>
    <row r="76" spans="2:26" ht="15" customHeight="1">
      <c r="B76" s="433"/>
      <c r="C76" s="433"/>
      <c r="D76" s="433"/>
      <c r="E76" s="433"/>
      <c r="F76" s="443"/>
      <c r="G76" s="443"/>
      <c r="H76" s="443"/>
      <c r="I76" s="443"/>
      <c r="J76" s="443"/>
      <c r="K76" s="443"/>
      <c r="L76" s="443"/>
      <c r="M76" s="443"/>
      <c r="N76" s="443"/>
      <c r="O76" s="443"/>
      <c r="P76" s="443"/>
      <c r="Q76" s="443"/>
      <c r="R76" s="443"/>
      <c r="S76" s="443"/>
      <c r="T76" s="443"/>
      <c r="U76" s="443"/>
      <c r="V76" s="443"/>
      <c r="W76" s="443"/>
      <c r="X76" s="443"/>
      <c r="Y76" s="443"/>
      <c r="Z76" s="443"/>
    </row>
    <row r="77" spans="2:26" ht="15" customHeight="1">
      <c r="B77" s="433"/>
      <c r="C77" s="433"/>
      <c r="D77" s="433"/>
      <c r="E77" s="433"/>
      <c r="F77" s="443"/>
      <c r="G77" s="443"/>
      <c r="H77" s="443"/>
      <c r="I77" s="443"/>
      <c r="J77" s="443"/>
      <c r="K77" s="443"/>
      <c r="L77" s="443"/>
      <c r="M77" s="443"/>
      <c r="N77" s="443"/>
      <c r="O77" s="443"/>
      <c r="P77" s="443"/>
      <c r="Q77" s="443"/>
      <c r="R77" s="443"/>
      <c r="S77" s="443"/>
      <c r="T77" s="443"/>
      <c r="U77" s="443"/>
      <c r="V77" s="443"/>
      <c r="W77" s="443"/>
      <c r="X77" s="443"/>
      <c r="Y77" s="443"/>
      <c r="Z77" s="443"/>
    </row>
    <row r="78" spans="2:26" ht="15" customHeight="1">
      <c r="B78" s="433"/>
      <c r="C78" s="433"/>
      <c r="D78" s="433"/>
      <c r="E78" s="433"/>
      <c r="F78" s="443"/>
      <c r="G78" s="443"/>
      <c r="H78" s="443"/>
      <c r="I78" s="443"/>
      <c r="J78" s="443"/>
      <c r="K78" s="443"/>
      <c r="L78" s="443"/>
      <c r="M78" s="443"/>
      <c r="N78" s="443"/>
      <c r="O78" s="443"/>
      <c r="P78" s="443"/>
      <c r="Q78" s="443"/>
      <c r="R78" s="443"/>
      <c r="S78" s="443"/>
      <c r="T78" s="443"/>
      <c r="U78" s="443"/>
      <c r="V78" s="443"/>
      <c r="W78" s="443"/>
      <c r="X78" s="443"/>
      <c r="Y78" s="443"/>
      <c r="Z78" s="443"/>
    </row>
    <row r="79" spans="2:26" ht="15" customHeight="1">
      <c r="B79" s="433"/>
      <c r="C79" s="433"/>
      <c r="D79" s="433"/>
      <c r="E79" s="433"/>
      <c r="F79" s="443"/>
      <c r="G79" s="443"/>
      <c r="H79" s="443"/>
      <c r="I79" s="443"/>
      <c r="J79" s="443"/>
      <c r="K79" s="443"/>
      <c r="L79" s="443"/>
      <c r="M79" s="443"/>
      <c r="N79" s="443"/>
      <c r="O79" s="443"/>
      <c r="P79" s="443"/>
      <c r="Q79" s="443"/>
      <c r="R79" s="443"/>
      <c r="S79" s="443"/>
      <c r="T79" s="443"/>
      <c r="U79" s="443"/>
      <c r="V79" s="443"/>
      <c r="W79" s="443"/>
      <c r="X79" s="443"/>
      <c r="Y79" s="443"/>
      <c r="Z79" s="443"/>
    </row>
    <row r="80" spans="2:26" ht="15" customHeight="1">
      <c r="B80" s="433"/>
      <c r="C80" s="433"/>
      <c r="D80" s="433"/>
      <c r="E80" s="433"/>
      <c r="F80" s="443"/>
      <c r="G80" s="443"/>
      <c r="H80" s="443"/>
      <c r="I80" s="443"/>
      <c r="J80" s="443"/>
      <c r="K80" s="443"/>
      <c r="L80" s="443"/>
      <c r="M80" s="443"/>
      <c r="N80" s="443"/>
      <c r="O80" s="443"/>
      <c r="P80" s="443"/>
      <c r="Q80" s="443"/>
      <c r="R80" s="443"/>
      <c r="S80" s="443"/>
      <c r="T80" s="443"/>
      <c r="U80" s="443"/>
      <c r="V80" s="443"/>
      <c r="W80" s="443"/>
      <c r="X80" s="443"/>
      <c r="Y80" s="443"/>
      <c r="Z80" s="443"/>
    </row>
    <row r="81" spans="2:26" ht="15" customHeight="1">
      <c r="B81" s="433"/>
      <c r="C81" s="433"/>
      <c r="D81" s="433"/>
      <c r="E81" s="433"/>
      <c r="F81" s="443"/>
      <c r="G81" s="443"/>
      <c r="H81" s="443"/>
      <c r="I81" s="443"/>
      <c r="J81" s="443"/>
      <c r="K81" s="443"/>
      <c r="L81" s="443"/>
      <c r="M81" s="443"/>
      <c r="N81" s="443"/>
      <c r="O81" s="443"/>
      <c r="P81" s="443"/>
      <c r="Q81" s="443"/>
      <c r="R81" s="443"/>
      <c r="S81" s="443"/>
      <c r="T81" s="443"/>
      <c r="U81" s="443"/>
      <c r="V81" s="443"/>
      <c r="W81" s="443"/>
      <c r="X81" s="443"/>
      <c r="Y81" s="443"/>
      <c r="Z81" s="443"/>
    </row>
    <row r="82" spans="2:26" ht="15" customHeight="1">
      <c r="B82" s="433"/>
      <c r="C82" s="433"/>
      <c r="D82" s="433"/>
      <c r="E82" s="433"/>
      <c r="F82" s="443"/>
      <c r="G82" s="443"/>
      <c r="H82" s="443"/>
      <c r="I82" s="443"/>
      <c r="J82" s="443"/>
      <c r="K82" s="443"/>
      <c r="L82" s="443"/>
      <c r="M82" s="443"/>
      <c r="N82" s="443"/>
      <c r="O82" s="443"/>
      <c r="P82" s="443"/>
      <c r="Q82" s="443"/>
      <c r="R82" s="443"/>
      <c r="S82" s="443"/>
      <c r="T82" s="443"/>
      <c r="U82" s="443"/>
      <c r="V82" s="443"/>
      <c r="W82" s="443"/>
      <c r="X82" s="443"/>
      <c r="Y82" s="443"/>
      <c r="Z82" s="443"/>
    </row>
    <row r="83" spans="2:26" ht="15" customHeight="1">
      <c r="B83" s="433"/>
      <c r="C83" s="433"/>
      <c r="D83" s="433"/>
      <c r="E83" s="433"/>
      <c r="F83" s="443"/>
      <c r="G83" s="443"/>
      <c r="H83" s="443"/>
      <c r="I83" s="443"/>
      <c r="J83" s="443"/>
      <c r="K83" s="443"/>
      <c r="L83" s="443"/>
      <c r="M83" s="443"/>
      <c r="N83" s="443"/>
      <c r="O83" s="443"/>
      <c r="P83" s="443"/>
      <c r="Q83" s="443"/>
      <c r="R83" s="443"/>
      <c r="S83" s="443"/>
      <c r="T83" s="443"/>
      <c r="U83" s="443"/>
      <c r="V83" s="443"/>
      <c r="W83" s="443"/>
      <c r="X83" s="443"/>
      <c r="Y83" s="443"/>
      <c r="Z83" s="443"/>
    </row>
    <row r="84" spans="2:26" ht="15" customHeight="1">
      <c r="B84" s="433"/>
      <c r="C84" s="433"/>
      <c r="D84" s="433"/>
      <c r="E84" s="433"/>
      <c r="F84" s="443"/>
      <c r="G84" s="443"/>
      <c r="H84" s="443"/>
      <c r="I84" s="443"/>
      <c r="J84" s="443"/>
      <c r="K84" s="443"/>
      <c r="L84" s="443"/>
      <c r="M84" s="443"/>
      <c r="N84" s="443"/>
      <c r="O84" s="443"/>
      <c r="P84" s="443"/>
      <c r="Q84" s="443"/>
      <c r="R84" s="443"/>
      <c r="S84" s="443"/>
      <c r="T84" s="443"/>
      <c r="U84" s="443"/>
      <c r="V84" s="443"/>
      <c r="W84" s="443"/>
      <c r="X84" s="443"/>
      <c r="Y84" s="443"/>
      <c r="Z84" s="443"/>
    </row>
    <row r="85" spans="2:26" ht="15" customHeight="1">
      <c r="B85" s="433"/>
      <c r="C85" s="433"/>
      <c r="D85" s="433"/>
      <c r="E85" s="433"/>
      <c r="F85" s="443"/>
      <c r="G85" s="443"/>
      <c r="H85" s="443"/>
      <c r="I85" s="443"/>
      <c r="J85" s="443"/>
      <c r="K85" s="443"/>
      <c r="L85" s="443"/>
      <c r="M85" s="443"/>
      <c r="N85" s="443"/>
      <c r="O85" s="443"/>
      <c r="P85" s="443"/>
      <c r="Q85" s="443"/>
      <c r="R85" s="443"/>
      <c r="S85" s="443"/>
      <c r="T85" s="443"/>
      <c r="U85" s="443"/>
      <c r="V85" s="443"/>
      <c r="W85" s="443"/>
      <c r="X85" s="443"/>
      <c r="Y85" s="443"/>
      <c r="Z85" s="443"/>
    </row>
    <row r="86" spans="2:26" ht="15" customHeight="1">
      <c r="B86" s="433"/>
      <c r="C86" s="433"/>
      <c r="D86" s="433"/>
      <c r="E86" s="433"/>
      <c r="F86" s="443"/>
      <c r="G86" s="443"/>
      <c r="H86" s="443"/>
      <c r="I86" s="443"/>
      <c r="J86" s="443"/>
      <c r="K86" s="443"/>
      <c r="L86" s="443"/>
      <c r="M86" s="443"/>
      <c r="N86" s="443"/>
      <c r="O86" s="443"/>
      <c r="P86" s="443"/>
      <c r="Q86" s="443"/>
      <c r="R86" s="443"/>
      <c r="S86" s="443"/>
      <c r="T86" s="443"/>
      <c r="U86" s="443"/>
      <c r="V86" s="443"/>
      <c r="W86" s="443"/>
      <c r="X86" s="443"/>
      <c r="Y86" s="443"/>
      <c r="Z86" s="443"/>
    </row>
    <row r="87" spans="2:26" ht="15" customHeight="1">
      <c r="B87" s="433"/>
      <c r="C87" s="433"/>
      <c r="D87" s="433"/>
      <c r="E87" s="433"/>
      <c r="F87" s="443"/>
      <c r="G87" s="443"/>
      <c r="H87" s="443"/>
      <c r="I87" s="443"/>
      <c r="J87" s="443"/>
      <c r="K87" s="443"/>
      <c r="L87" s="443"/>
      <c r="M87" s="443"/>
      <c r="N87" s="443"/>
      <c r="O87" s="443"/>
      <c r="P87" s="443"/>
      <c r="Q87" s="443"/>
      <c r="R87" s="443"/>
      <c r="S87" s="443"/>
      <c r="T87" s="443"/>
      <c r="U87" s="443"/>
      <c r="V87" s="443"/>
      <c r="W87" s="443"/>
      <c r="X87" s="443"/>
      <c r="Y87" s="443"/>
      <c r="Z87" s="443"/>
    </row>
    <row r="88" spans="2:26" ht="15" customHeight="1">
      <c r="B88" s="433"/>
      <c r="C88" s="433"/>
      <c r="D88" s="433"/>
      <c r="E88" s="433"/>
      <c r="F88" s="443"/>
      <c r="G88" s="443"/>
      <c r="H88" s="443"/>
      <c r="I88" s="443"/>
      <c r="J88" s="443"/>
      <c r="K88" s="443"/>
      <c r="L88" s="443"/>
      <c r="M88" s="443"/>
      <c r="N88" s="443"/>
      <c r="O88" s="443"/>
      <c r="P88" s="443"/>
      <c r="Q88" s="443"/>
      <c r="R88" s="443"/>
      <c r="S88" s="443"/>
      <c r="T88" s="443"/>
      <c r="U88" s="443"/>
      <c r="V88" s="443"/>
      <c r="W88" s="443"/>
      <c r="X88" s="443"/>
      <c r="Y88" s="443"/>
      <c r="Z88" s="443"/>
    </row>
    <row r="89" spans="2:26" ht="15" customHeight="1">
      <c r="B89" s="433"/>
      <c r="C89" s="433"/>
      <c r="D89" s="433"/>
      <c r="E89" s="433"/>
      <c r="F89" s="443"/>
      <c r="G89" s="443"/>
      <c r="H89" s="443"/>
      <c r="I89" s="443"/>
      <c r="J89" s="443"/>
      <c r="K89" s="443"/>
      <c r="L89" s="443"/>
      <c r="M89" s="443"/>
      <c r="N89" s="443"/>
      <c r="O89" s="443"/>
      <c r="P89" s="443"/>
      <c r="Q89" s="443"/>
      <c r="R89" s="443"/>
      <c r="S89" s="443"/>
      <c r="T89" s="443"/>
      <c r="U89" s="443"/>
      <c r="V89" s="443"/>
      <c r="W89" s="443"/>
      <c r="X89" s="443"/>
      <c r="Y89" s="443"/>
      <c r="Z89" s="443"/>
    </row>
    <row r="90" spans="2:26" ht="15" customHeight="1">
      <c r="B90" s="433"/>
      <c r="C90" s="433"/>
      <c r="D90" s="433"/>
      <c r="E90" s="433"/>
      <c r="F90" s="443"/>
      <c r="G90" s="443"/>
      <c r="H90" s="443"/>
      <c r="I90" s="443"/>
      <c r="J90" s="443"/>
      <c r="K90" s="443"/>
      <c r="L90" s="443"/>
      <c r="M90" s="443"/>
      <c r="N90" s="443"/>
      <c r="O90" s="443"/>
      <c r="P90" s="443"/>
      <c r="Q90" s="443"/>
      <c r="R90" s="443"/>
      <c r="S90" s="443"/>
      <c r="T90" s="443"/>
      <c r="U90" s="443"/>
      <c r="V90" s="443"/>
      <c r="W90" s="443"/>
      <c r="X90" s="443"/>
      <c r="Y90" s="443"/>
      <c r="Z90" s="443"/>
    </row>
    <row r="91" spans="2:26" ht="15" customHeight="1">
      <c r="B91" s="433"/>
      <c r="C91" s="433"/>
      <c r="D91" s="433"/>
      <c r="E91" s="433"/>
      <c r="F91" s="443"/>
      <c r="G91" s="443"/>
      <c r="H91" s="443"/>
      <c r="I91" s="443"/>
      <c r="J91" s="443"/>
      <c r="K91" s="443"/>
      <c r="L91" s="443"/>
      <c r="M91" s="443"/>
      <c r="N91" s="443"/>
      <c r="O91" s="443"/>
      <c r="P91" s="443"/>
      <c r="Q91" s="443"/>
      <c r="R91" s="443"/>
      <c r="S91" s="443"/>
      <c r="T91" s="443"/>
      <c r="U91" s="443"/>
      <c r="V91" s="443"/>
      <c r="W91" s="443"/>
      <c r="X91" s="443"/>
      <c r="Y91" s="443"/>
      <c r="Z91" s="443"/>
    </row>
    <row r="92" spans="2:26" ht="15" customHeight="1">
      <c r="B92" s="433"/>
      <c r="C92" s="433"/>
      <c r="D92" s="433"/>
      <c r="E92" s="433"/>
      <c r="F92" s="443"/>
      <c r="G92" s="443"/>
      <c r="H92" s="443"/>
      <c r="I92" s="443"/>
      <c r="J92" s="443"/>
      <c r="K92" s="443"/>
      <c r="L92" s="443"/>
      <c r="M92" s="443"/>
      <c r="N92" s="443"/>
      <c r="O92" s="443"/>
      <c r="P92" s="443"/>
      <c r="Q92" s="443"/>
      <c r="R92" s="443"/>
      <c r="S92" s="443"/>
      <c r="T92" s="443"/>
      <c r="U92" s="443"/>
      <c r="V92" s="443"/>
      <c r="W92" s="443"/>
      <c r="X92" s="443"/>
      <c r="Y92" s="443"/>
      <c r="Z92" s="443"/>
    </row>
    <row r="93" spans="2:26" ht="15" customHeight="1">
      <c r="B93" s="433"/>
      <c r="C93" s="433"/>
      <c r="D93" s="433"/>
      <c r="E93" s="433"/>
      <c r="F93" s="443"/>
      <c r="G93" s="443"/>
      <c r="H93" s="443"/>
      <c r="I93" s="443"/>
      <c r="J93" s="443"/>
      <c r="K93" s="443"/>
      <c r="L93" s="443"/>
      <c r="M93" s="443"/>
      <c r="N93" s="443"/>
      <c r="O93" s="443"/>
      <c r="P93" s="443"/>
      <c r="Q93" s="443"/>
      <c r="R93" s="443"/>
      <c r="S93" s="443"/>
      <c r="T93" s="443"/>
      <c r="U93" s="443"/>
      <c r="V93" s="443"/>
      <c r="W93" s="443"/>
      <c r="X93" s="443"/>
      <c r="Y93" s="443"/>
      <c r="Z93" s="443"/>
    </row>
    <row r="94" spans="2:26" ht="15" customHeight="1">
      <c r="B94" s="433"/>
      <c r="C94" s="433"/>
      <c r="D94" s="433"/>
      <c r="E94" s="433"/>
      <c r="F94" s="443"/>
      <c r="G94" s="443"/>
      <c r="H94" s="443"/>
      <c r="I94" s="443"/>
      <c r="J94" s="443"/>
      <c r="K94" s="443"/>
      <c r="L94" s="443"/>
      <c r="M94" s="443"/>
      <c r="N94" s="443"/>
      <c r="O94" s="443"/>
      <c r="P94" s="443"/>
      <c r="Q94" s="443"/>
      <c r="R94" s="443"/>
      <c r="S94" s="443"/>
      <c r="T94" s="443"/>
      <c r="U94" s="443"/>
      <c r="V94" s="443"/>
      <c r="W94" s="443"/>
      <c r="X94" s="443"/>
      <c r="Y94" s="443"/>
      <c r="Z94" s="443"/>
    </row>
    <row r="95" spans="2:26" ht="15" customHeight="1">
      <c r="B95" s="433"/>
      <c r="C95" s="433"/>
      <c r="D95" s="433"/>
      <c r="E95" s="433"/>
      <c r="F95" s="443"/>
      <c r="G95" s="443"/>
      <c r="H95" s="443"/>
      <c r="I95" s="443"/>
      <c r="J95" s="443"/>
      <c r="K95" s="443"/>
      <c r="L95" s="443"/>
      <c r="M95" s="443"/>
      <c r="N95" s="443"/>
      <c r="O95" s="443"/>
      <c r="P95" s="443"/>
      <c r="Q95" s="443"/>
      <c r="R95" s="443"/>
      <c r="S95" s="443"/>
      <c r="T95" s="443"/>
      <c r="U95" s="443"/>
      <c r="V95" s="443"/>
      <c r="W95" s="443"/>
      <c r="X95" s="443"/>
      <c r="Y95" s="443"/>
      <c r="Z95" s="443"/>
    </row>
    <row r="96" spans="2:26" ht="15" customHeight="1">
      <c r="B96" s="433"/>
      <c r="C96" s="433"/>
      <c r="D96" s="433"/>
      <c r="E96" s="433"/>
      <c r="F96" s="443"/>
      <c r="G96" s="443"/>
      <c r="H96" s="443"/>
      <c r="I96" s="443"/>
      <c r="J96" s="443"/>
      <c r="K96" s="443"/>
      <c r="L96" s="443"/>
      <c r="M96" s="443"/>
      <c r="N96" s="443"/>
      <c r="O96" s="443"/>
      <c r="P96" s="443"/>
      <c r="Q96" s="443"/>
      <c r="R96" s="443"/>
      <c r="S96" s="443"/>
      <c r="T96" s="443"/>
      <c r="U96" s="443"/>
      <c r="V96" s="443"/>
      <c r="W96" s="443"/>
      <c r="X96" s="443"/>
      <c r="Y96" s="443"/>
      <c r="Z96" s="443"/>
    </row>
    <row r="97" spans="2:26" ht="15" customHeight="1">
      <c r="B97" s="433"/>
      <c r="C97" s="433"/>
      <c r="D97" s="433"/>
      <c r="E97" s="433"/>
      <c r="F97" s="443"/>
      <c r="G97" s="443"/>
      <c r="H97" s="443"/>
      <c r="I97" s="443"/>
      <c r="J97" s="443"/>
      <c r="K97" s="443"/>
      <c r="L97" s="443"/>
      <c r="M97" s="443"/>
      <c r="N97" s="443"/>
      <c r="O97" s="443"/>
      <c r="P97" s="443"/>
      <c r="Q97" s="443"/>
      <c r="R97" s="443"/>
      <c r="S97" s="443"/>
      <c r="T97" s="443"/>
      <c r="U97" s="443"/>
      <c r="V97" s="443"/>
      <c r="W97" s="443"/>
      <c r="X97" s="443"/>
      <c r="Y97" s="443"/>
      <c r="Z97" s="443"/>
    </row>
    <row r="98" spans="2:26" ht="15" customHeight="1">
      <c r="B98" s="433"/>
      <c r="C98" s="433"/>
      <c r="D98" s="433"/>
      <c r="E98" s="433"/>
      <c r="F98" s="443"/>
      <c r="G98" s="443"/>
      <c r="H98" s="443"/>
      <c r="I98" s="443"/>
      <c r="J98" s="443"/>
      <c r="K98" s="443"/>
      <c r="L98" s="443"/>
      <c r="M98" s="443"/>
      <c r="N98" s="443"/>
      <c r="O98" s="443"/>
      <c r="P98" s="443"/>
      <c r="Q98" s="443"/>
      <c r="R98" s="443"/>
      <c r="S98" s="443"/>
      <c r="T98" s="443"/>
      <c r="U98" s="443"/>
      <c r="V98" s="443"/>
      <c r="W98" s="443"/>
      <c r="X98" s="443"/>
      <c r="Y98" s="443"/>
      <c r="Z98" s="443"/>
    </row>
    <row r="99" spans="2:26" ht="15" customHeight="1">
      <c r="B99" s="433"/>
      <c r="C99" s="433"/>
      <c r="D99" s="433"/>
      <c r="E99" s="433"/>
      <c r="F99" s="443"/>
      <c r="G99" s="443"/>
      <c r="H99" s="443"/>
      <c r="I99" s="443"/>
      <c r="J99" s="443"/>
      <c r="K99" s="443"/>
      <c r="L99" s="443"/>
      <c r="M99" s="443"/>
      <c r="N99" s="443"/>
      <c r="O99" s="443"/>
      <c r="P99" s="443"/>
      <c r="Q99" s="443"/>
      <c r="R99" s="443"/>
      <c r="S99" s="443"/>
      <c r="T99" s="443"/>
      <c r="U99" s="443"/>
      <c r="V99" s="443"/>
      <c r="W99" s="443"/>
      <c r="X99" s="443"/>
      <c r="Y99" s="443"/>
      <c r="Z99" s="443"/>
    </row>
    <row r="100" spans="2:26" ht="15" customHeight="1">
      <c r="B100" s="433"/>
      <c r="C100" s="433"/>
      <c r="D100" s="433"/>
      <c r="E100" s="433"/>
      <c r="F100" s="443"/>
      <c r="G100" s="443"/>
      <c r="H100" s="443"/>
      <c r="I100" s="443"/>
      <c r="J100" s="443"/>
      <c r="K100" s="443"/>
      <c r="L100" s="443"/>
      <c r="M100" s="443"/>
      <c r="N100" s="443"/>
      <c r="O100" s="443"/>
      <c r="P100" s="443"/>
      <c r="Q100" s="443"/>
      <c r="R100" s="443"/>
      <c r="S100" s="443"/>
      <c r="T100" s="443"/>
      <c r="U100" s="443"/>
      <c r="V100" s="443"/>
      <c r="W100" s="443"/>
      <c r="X100" s="443"/>
      <c r="Y100" s="443"/>
      <c r="Z100" s="443"/>
    </row>
    <row r="101" spans="2:26" ht="15" customHeight="1">
      <c r="B101" s="433"/>
      <c r="C101" s="433"/>
      <c r="D101" s="433"/>
      <c r="E101" s="433"/>
      <c r="F101" s="443"/>
      <c r="G101" s="443"/>
      <c r="H101" s="443"/>
      <c r="I101" s="443"/>
      <c r="J101" s="443"/>
      <c r="K101" s="443"/>
      <c r="L101" s="443"/>
      <c r="M101" s="443"/>
      <c r="N101" s="443"/>
      <c r="O101" s="443"/>
      <c r="P101" s="443"/>
      <c r="Q101" s="443"/>
      <c r="R101" s="443"/>
      <c r="S101" s="443"/>
      <c r="T101" s="443"/>
      <c r="U101" s="443"/>
      <c r="V101" s="443"/>
      <c r="W101" s="443"/>
      <c r="X101" s="443"/>
      <c r="Y101" s="443"/>
      <c r="Z101" s="443"/>
    </row>
    <row r="102" spans="2:26" ht="15" customHeight="1">
      <c r="B102" s="433"/>
      <c r="C102" s="433"/>
      <c r="D102" s="433"/>
      <c r="E102" s="433"/>
      <c r="F102" s="443"/>
      <c r="G102" s="443"/>
      <c r="H102" s="443"/>
      <c r="I102" s="443"/>
      <c r="J102" s="443"/>
      <c r="K102" s="443"/>
      <c r="L102" s="443"/>
      <c r="M102" s="443"/>
      <c r="N102" s="443"/>
      <c r="O102" s="443"/>
      <c r="P102" s="443"/>
      <c r="Q102" s="443"/>
      <c r="R102" s="443"/>
      <c r="S102" s="443"/>
      <c r="T102" s="443"/>
      <c r="U102" s="443"/>
      <c r="V102" s="443"/>
      <c r="W102" s="443"/>
      <c r="X102" s="443"/>
      <c r="Y102" s="443"/>
      <c r="Z102" s="443"/>
    </row>
    <row r="103" spans="2:26" ht="15" customHeight="1">
      <c r="B103" s="433"/>
      <c r="C103" s="433"/>
      <c r="D103" s="433"/>
      <c r="E103" s="433"/>
      <c r="F103" s="443"/>
      <c r="G103" s="443"/>
      <c r="H103" s="443"/>
      <c r="I103" s="443"/>
      <c r="J103" s="443"/>
      <c r="K103" s="443"/>
      <c r="L103" s="443"/>
      <c r="M103" s="443"/>
      <c r="N103" s="443"/>
      <c r="O103" s="443"/>
      <c r="P103" s="443"/>
      <c r="Q103" s="443"/>
      <c r="R103" s="443"/>
      <c r="S103" s="443"/>
      <c r="T103" s="443"/>
      <c r="U103" s="443"/>
      <c r="V103" s="443"/>
      <c r="W103" s="443"/>
      <c r="X103" s="443"/>
      <c r="Y103" s="443"/>
      <c r="Z103" s="443"/>
    </row>
    <row r="104" spans="2:26" ht="15" customHeight="1">
      <c r="B104" s="433"/>
      <c r="C104" s="433"/>
      <c r="D104" s="433"/>
      <c r="E104" s="433"/>
      <c r="F104" s="443"/>
      <c r="G104" s="443"/>
      <c r="H104" s="443"/>
      <c r="I104" s="443"/>
      <c r="J104" s="443"/>
      <c r="K104" s="443"/>
      <c r="L104" s="443"/>
      <c r="M104" s="443"/>
      <c r="N104" s="443"/>
      <c r="O104" s="443"/>
      <c r="P104" s="443"/>
      <c r="Q104" s="443"/>
      <c r="R104" s="443"/>
      <c r="S104" s="443"/>
      <c r="T104" s="443"/>
      <c r="U104" s="443"/>
      <c r="V104" s="443"/>
      <c r="W104" s="443"/>
      <c r="X104" s="443"/>
      <c r="Y104" s="443"/>
      <c r="Z104" s="443"/>
    </row>
    <row r="105" spans="2:26" ht="15" customHeight="1">
      <c r="B105" s="433"/>
      <c r="C105" s="433"/>
      <c r="D105" s="433"/>
      <c r="E105" s="433"/>
      <c r="F105" s="443"/>
      <c r="G105" s="443"/>
      <c r="H105" s="443"/>
      <c r="I105" s="443"/>
      <c r="J105" s="443"/>
      <c r="K105" s="443"/>
      <c r="L105" s="443"/>
      <c r="M105" s="443"/>
      <c r="N105" s="443"/>
      <c r="O105" s="443"/>
      <c r="P105" s="443"/>
      <c r="Q105" s="443"/>
      <c r="R105" s="443"/>
      <c r="S105" s="443"/>
      <c r="T105" s="443"/>
      <c r="U105" s="443"/>
      <c r="V105" s="443"/>
      <c r="W105" s="443"/>
      <c r="X105" s="443"/>
      <c r="Y105" s="443"/>
      <c r="Z105" s="443"/>
    </row>
    <row r="106" spans="2:26" ht="15" customHeight="1">
      <c r="B106" s="433"/>
      <c r="C106" s="433"/>
      <c r="D106" s="433"/>
      <c r="E106" s="433"/>
      <c r="F106" s="443"/>
      <c r="G106" s="443"/>
      <c r="H106" s="443"/>
      <c r="I106" s="443"/>
      <c r="J106" s="443"/>
      <c r="K106" s="443"/>
      <c r="L106" s="443"/>
      <c r="M106" s="443"/>
      <c r="N106" s="443"/>
      <c r="O106" s="443"/>
      <c r="P106" s="443"/>
      <c r="Q106" s="443"/>
      <c r="R106" s="443"/>
      <c r="S106" s="443"/>
      <c r="T106" s="443"/>
      <c r="U106" s="443"/>
      <c r="V106" s="443"/>
      <c r="W106" s="443"/>
      <c r="X106" s="443"/>
      <c r="Y106" s="443"/>
      <c r="Z106" s="443"/>
    </row>
    <row r="107" spans="2:26" ht="15" customHeight="1">
      <c r="B107" s="433"/>
      <c r="C107" s="433"/>
      <c r="D107" s="433"/>
      <c r="E107" s="433"/>
      <c r="F107" s="443"/>
      <c r="G107" s="443"/>
      <c r="H107" s="443"/>
      <c r="I107" s="443"/>
      <c r="J107" s="443"/>
      <c r="K107" s="443"/>
      <c r="L107" s="443"/>
      <c r="M107" s="443"/>
      <c r="N107" s="443"/>
      <c r="O107" s="443"/>
      <c r="P107" s="443"/>
      <c r="Q107" s="443"/>
      <c r="R107" s="443"/>
      <c r="S107" s="443"/>
      <c r="T107" s="443"/>
      <c r="U107" s="443"/>
      <c r="V107" s="443"/>
      <c r="W107" s="443"/>
      <c r="X107" s="443"/>
      <c r="Y107" s="443"/>
      <c r="Z107" s="443"/>
    </row>
    <row r="108" spans="2:26" ht="15" customHeight="1">
      <c r="B108" s="433"/>
      <c r="C108" s="433"/>
      <c r="D108" s="433"/>
      <c r="E108" s="433"/>
      <c r="F108" s="443"/>
      <c r="G108" s="443"/>
      <c r="H108" s="443"/>
      <c r="I108" s="443"/>
      <c r="J108" s="443"/>
      <c r="K108" s="443"/>
      <c r="L108" s="443"/>
      <c r="M108" s="443"/>
      <c r="N108" s="443"/>
      <c r="O108" s="443"/>
      <c r="P108" s="443"/>
      <c r="Q108" s="443"/>
      <c r="R108" s="443"/>
      <c r="S108" s="443"/>
      <c r="T108" s="443"/>
      <c r="U108" s="443"/>
      <c r="V108" s="443"/>
      <c r="W108" s="443"/>
      <c r="X108" s="443"/>
      <c r="Y108" s="443"/>
      <c r="Z108" s="443"/>
    </row>
    <row r="109" spans="2:26" ht="15" customHeight="1">
      <c r="B109" s="433"/>
      <c r="C109" s="433"/>
      <c r="D109" s="433"/>
      <c r="E109" s="433"/>
      <c r="F109" s="443"/>
      <c r="G109" s="443"/>
      <c r="H109" s="443"/>
      <c r="I109" s="443"/>
      <c r="J109" s="443"/>
      <c r="K109" s="443"/>
      <c r="L109" s="443"/>
      <c r="M109" s="443"/>
      <c r="N109" s="443"/>
      <c r="O109" s="443"/>
      <c r="P109" s="443"/>
      <c r="Q109" s="443"/>
      <c r="R109" s="443"/>
      <c r="S109" s="443"/>
      <c r="T109" s="443"/>
      <c r="U109" s="443"/>
      <c r="V109" s="443"/>
      <c r="W109" s="443"/>
      <c r="X109" s="443"/>
      <c r="Y109" s="443"/>
      <c r="Z109" s="443"/>
    </row>
    <row r="110" spans="2:26" ht="15" customHeight="1">
      <c r="B110" s="433"/>
      <c r="C110" s="433"/>
      <c r="D110" s="433"/>
      <c r="E110" s="433"/>
      <c r="F110" s="443"/>
      <c r="G110" s="443"/>
      <c r="H110" s="443"/>
      <c r="I110" s="443"/>
      <c r="J110" s="443"/>
      <c r="K110" s="443"/>
      <c r="L110" s="443"/>
      <c r="M110" s="443"/>
      <c r="N110" s="443"/>
      <c r="O110" s="443"/>
      <c r="P110" s="443"/>
      <c r="Q110" s="443"/>
      <c r="R110" s="443"/>
      <c r="S110" s="443"/>
      <c r="T110" s="443"/>
      <c r="U110" s="443"/>
      <c r="V110" s="443"/>
      <c r="W110" s="443"/>
      <c r="X110" s="443"/>
      <c r="Y110" s="443"/>
      <c r="Z110" s="443"/>
    </row>
    <row r="111" spans="2:26" ht="15" customHeight="1">
      <c r="B111" s="433"/>
      <c r="C111" s="433"/>
      <c r="D111" s="433"/>
      <c r="E111" s="433"/>
      <c r="F111" s="443"/>
      <c r="G111" s="443"/>
      <c r="H111" s="443"/>
      <c r="I111" s="443"/>
      <c r="J111" s="443"/>
      <c r="K111" s="443"/>
      <c r="L111" s="443"/>
      <c r="M111" s="443"/>
      <c r="N111" s="443"/>
      <c r="O111" s="443"/>
      <c r="P111" s="443"/>
      <c r="Q111" s="443"/>
      <c r="R111" s="443"/>
      <c r="S111" s="443"/>
      <c r="T111" s="443"/>
      <c r="U111" s="443"/>
      <c r="V111" s="443"/>
      <c r="W111" s="443"/>
      <c r="X111" s="443"/>
      <c r="Y111" s="443"/>
      <c r="Z111" s="443"/>
    </row>
    <row r="112" spans="2:26" ht="15" customHeight="1">
      <c r="B112" s="433"/>
      <c r="C112" s="433"/>
      <c r="D112" s="433"/>
      <c r="E112" s="433"/>
      <c r="F112" s="443"/>
      <c r="G112" s="443"/>
      <c r="H112" s="443"/>
      <c r="I112" s="443"/>
      <c r="J112" s="443"/>
      <c r="K112" s="443"/>
      <c r="L112" s="443"/>
      <c r="M112" s="443"/>
      <c r="N112" s="443"/>
      <c r="O112" s="443"/>
      <c r="P112" s="443"/>
      <c r="Q112" s="443"/>
      <c r="R112" s="443"/>
      <c r="S112" s="443"/>
      <c r="T112" s="443"/>
      <c r="U112" s="443"/>
      <c r="V112" s="443"/>
      <c r="W112" s="443"/>
      <c r="X112" s="443"/>
      <c r="Y112" s="443"/>
      <c r="Z112" s="443"/>
    </row>
    <row r="113" spans="2:26" ht="15" customHeight="1">
      <c r="B113" s="433"/>
      <c r="C113" s="433"/>
      <c r="D113" s="433"/>
      <c r="E113" s="433"/>
      <c r="F113" s="443"/>
      <c r="G113" s="443"/>
      <c r="H113" s="443"/>
      <c r="I113" s="443"/>
      <c r="J113" s="443"/>
      <c r="K113" s="443"/>
      <c r="L113" s="443"/>
      <c r="M113" s="443"/>
      <c r="N113" s="443"/>
      <c r="O113" s="443"/>
      <c r="P113" s="443"/>
      <c r="Q113" s="443"/>
      <c r="R113" s="443"/>
      <c r="S113" s="443"/>
      <c r="T113" s="443"/>
      <c r="U113" s="443"/>
      <c r="V113" s="443"/>
      <c r="W113" s="443"/>
      <c r="X113" s="443"/>
      <c r="Y113" s="443"/>
      <c r="Z113" s="443"/>
    </row>
    <row r="114" spans="2:26" ht="15" customHeight="1">
      <c r="B114" s="433"/>
      <c r="C114" s="433"/>
      <c r="D114" s="433"/>
      <c r="E114" s="433"/>
      <c r="F114" s="443"/>
      <c r="G114" s="443"/>
      <c r="H114" s="443"/>
      <c r="I114" s="443"/>
      <c r="J114" s="443"/>
      <c r="K114" s="443"/>
      <c r="L114" s="443"/>
      <c r="M114" s="443"/>
      <c r="N114" s="443"/>
      <c r="O114" s="443"/>
      <c r="P114" s="443"/>
      <c r="Q114" s="443"/>
      <c r="R114" s="443"/>
      <c r="S114" s="443"/>
      <c r="T114" s="443"/>
      <c r="U114" s="443"/>
      <c r="V114" s="443"/>
      <c r="W114" s="443"/>
      <c r="X114" s="443"/>
      <c r="Y114" s="443"/>
      <c r="Z114" s="443"/>
    </row>
    <row r="115" spans="2:26" ht="15" customHeight="1">
      <c r="B115" s="433"/>
      <c r="C115" s="433"/>
      <c r="D115" s="433"/>
      <c r="E115" s="433"/>
      <c r="F115" s="443"/>
      <c r="G115" s="443"/>
      <c r="H115" s="443"/>
      <c r="I115" s="443"/>
      <c r="J115" s="443"/>
      <c r="K115" s="443"/>
      <c r="L115" s="443"/>
      <c r="M115" s="443"/>
      <c r="N115" s="443"/>
      <c r="O115" s="443"/>
      <c r="P115" s="443"/>
      <c r="Q115" s="443"/>
      <c r="R115" s="443"/>
      <c r="S115" s="443"/>
      <c r="T115" s="443"/>
      <c r="U115" s="443"/>
      <c r="V115" s="443"/>
      <c r="W115" s="443"/>
      <c r="X115" s="443"/>
      <c r="Y115" s="443"/>
      <c r="Z115" s="443"/>
    </row>
    <row r="116" spans="2:26" ht="15" customHeight="1">
      <c r="B116" s="433"/>
      <c r="C116" s="433"/>
      <c r="D116" s="433"/>
      <c r="E116" s="433"/>
      <c r="F116" s="443"/>
      <c r="G116" s="443"/>
      <c r="H116" s="443"/>
      <c r="I116" s="443"/>
      <c r="J116" s="443"/>
      <c r="K116" s="443"/>
      <c r="L116" s="443"/>
      <c r="M116" s="443"/>
      <c r="N116" s="443"/>
      <c r="O116" s="443"/>
      <c r="P116" s="443"/>
      <c r="Q116" s="443"/>
      <c r="R116" s="443"/>
      <c r="S116" s="443"/>
      <c r="T116" s="443"/>
      <c r="U116" s="443"/>
      <c r="V116" s="443"/>
      <c r="W116" s="443"/>
      <c r="X116" s="443"/>
      <c r="Y116" s="443"/>
      <c r="Z116" s="443"/>
    </row>
    <row r="117" spans="2:26" ht="15" customHeight="1">
      <c r="B117" s="433"/>
      <c r="C117" s="433"/>
      <c r="D117" s="433"/>
      <c r="E117" s="433"/>
      <c r="F117" s="443"/>
      <c r="G117" s="443"/>
      <c r="H117" s="443"/>
      <c r="I117" s="443"/>
      <c r="J117" s="443"/>
      <c r="K117" s="443"/>
      <c r="L117" s="443"/>
      <c r="M117" s="443"/>
      <c r="N117" s="443"/>
      <c r="O117" s="443"/>
      <c r="P117" s="443"/>
      <c r="Q117" s="443"/>
      <c r="R117" s="443"/>
      <c r="S117" s="443"/>
      <c r="T117" s="443"/>
      <c r="U117" s="443"/>
      <c r="V117" s="443"/>
      <c r="W117" s="443"/>
      <c r="X117" s="443"/>
      <c r="Y117" s="443"/>
      <c r="Z117" s="443"/>
    </row>
    <row r="118" spans="2:26" ht="15" customHeight="1">
      <c r="B118" s="433"/>
      <c r="C118" s="433"/>
      <c r="D118" s="433"/>
      <c r="E118" s="433"/>
      <c r="F118" s="443"/>
      <c r="G118" s="443"/>
      <c r="H118" s="443"/>
      <c r="I118" s="443"/>
      <c r="J118" s="443"/>
      <c r="K118" s="443"/>
      <c r="L118" s="443"/>
      <c r="M118" s="443"/>
      <c r="N118" s="443"/>
      <c r="O118" s="443"/>
      <c r="P118" s="443"/>
      <c r="Q118" s="443"/>
      <c r="R118" s="443"/>
      <c r="S118" s="443"/>
      <c r="T118" s="443"/>
      <c r="U118" s="443"/>
      <c r="V118" s="443"/>
      <c r="W118" s="443"/>
      <c r="X118" s="443"/>
      <c r="Y118" s="443"/>
      <c r="Z118" s="443"/>
    </row>
    <row r="119" spans="2:26" ht="15" customHeight="1">
      <c r="B119" s="433"/>
      <c r="C119" s="433"/>
      <c r="D119" s="433"/>
      <c r="E119" s="433"/>
      <c r="F119" s="443"/>
      <c r="G119" s="443"/>
      <c r="H119" s="443"/>
      <c r="I119" s="443"/>
      <c r="J119" s="443"/>
      <c r="K119" s="443"/>
      <c r="L119" s="443"/>
      <c r="M119" s="443"/>
      <c r="N119" s="443"/>
      <c r="O119" s="443"/>
      <c r="P119" s="443"/>
      <c r="Q119" s="443"/>
      <c r="R119" s="443"/>
      <c r="S119" s="443"/>
      <c r="T119" s="443"/>
      <c r="U119" s="443"/>
      <c r="V119" s="443"/>
      <c r="W119" s="443"/>
      <c r="X119" s="443"/>
      <c r="Y119" s="443"/>
      <c r="Z119" s="443"/>
    </row>
    <row r="120" spans="2:26" ht="15" customHeight="1">
      <c r="F120" s="443"/>
      <c r="G120" s="443"/>
      <c r="H120" s="443"/>
      <c r="I120" s="443"/>
      <c r="J120" s="443"/>
      <c r="K120" s="443"/>
      <c r="L120" s="443"/>
      <c r="M120" s="443"/>
      <c r="N120" s="443"/>
      <c r="O120" s="443"/>
      <c r="P120" s="443"/>
      <c r="Q120" s="443"/>
      <c r="R120" s="443"/>
      <c r="S120" s="443"/>
      <c r="T120" s="443"/>
      <c r="U120" s="443"/>
      <c r="V120" s="443"/>
      <c r="W120" s="443"/>
      <c r="X120" s="443"/>
      <c r="Y120" s="443"/>
      <c r="Z120" s="443"/>
    </row>
    <row r="121" spans="2:26" ht="15" customHeight="1">
      <c r="F121" s="443"/>
      <c r="G121" s="443"/>
      <c r="H121" s="443"/>
      <c r="I121" s="443"/>
      <c r="J121" s="443"/>
      <c r="K121" s="443"/>
      <c r="L121" s="443"/>
      <c r="M121" s="443"/>
      <c r="N121" s="443"/>
      <c r="O121" s="443"/>
      <c r="P121" s="443"/>
      <c r="Q121" s="443"/>
      <c r="R121" s="443"/>
      <c r="S121" s="443"/>
      <c r="T121" s="443"/>
      <c r="U121" s="443"/>
      <c r="V121" s="443"/>
      <c r="W121" s="443"/>
      <c r="X121" s="443"/>
      <c r="Y121" s="443"/>
      <c r="Z121" s="443"/>
    </row>
    <row r="122" spans="2:26" ht="15" customHeight="1">
      <c r="F122" s="443"/>
      <c r="G122" s="443"/>
      <c r="H122" s="443"/>
      <c r="I122" s="443"/>
      <c r="J122" s="443"/>
      <c r="K122" s="443"/>
      <c r="L122" s="443"/>
      <c r="M122" s="443"/>
      <c r="N122" s="443"/>
      <c r="O122" s="443"/>
      <c r="P122" s="443"/>
      <c r="Q122" s="443"/>
      <c r="R122" s="443"/>
      <c r="S122" s="443"/>
      <c r="T122" s="443"/>
      <c r="U122" s="443"/>
      <c r="V122" s="443"/>
      <c r="W122" s="443"/>
      <c r="X122" s="443"/>
      <c r="Y122" s="443"/>
      <c r="Z122" s="443"/>
    </row>
    <row r="123" spans="2:26" ht="15" customHeight="1">
      <c r="F123" s="443"/>
      <c r="G123" s="443"/>
      <c r="H123" s="443"/>
      <c r="I123" s="443"/>
      <c r="J123" s="443"/>
      <c r="K123" s="443"/>
      <c r="L123" s="443"/>
      <c r="M123" s="443"/>
      <c r="N123" s="443"/>
      <c r="O123" s="443"/>
      <c r="P123" s="443"/>
      <c r="Q123" s="443"/>
      <c r="R123" s="443"/>
      <c r="S123" s="443"/>
      <c r="T123" s="443"/>
      <c r="U123" s="443"/>
      <c r="V123" s="443"/>
      <c r="W123" s="443"/>
      <c r="X123" s="443"/>
      <c r="Y123" s="443"/>
      <c r="Z123" s="443"/>
    </row>
    <row r="124" spans="2:26" ht="15" customHeight="1">
      <c r="F124" s="443"/>
      <c r="G124" s="443"/>
      <c r="H124" s="443"/>
      <c r="I124" s="443"/>
      <c r="J124" s="443"/>
      <c r="K124" s="443"/>
      <c r="L124" s="443"/>
      <c r="M124" s="443"/>
      <c r="N124" s="443"/>
      <c r="O124" s="443"/>
      <c r="P124" s="443"/>
      <c r="Q124" s="443"/>
      <c r="R124" s="443"/>
      <c r="S124" s="443"/>
      <c r="T124" s="443"/>
      <c r="U124" s="443"/>
      <c r="V124" s="443"/>
      <c r="W124" s="443"/>
      <c r="X124" s="443"/>
      <c r="Y124" s="443"/>
      <c r="Z124" s="443"/>
    </row>
    <row r="125" spans="2:26" ht="15" customHeight="1">
      <c r="F125" s="443"/>
      <c r="G125" s="443"/>
      <c r="H125" s="443"/>
      <c r="I125" s="443"/>
      <c r="J125" s="443"/>
      <c r="K125" s="443"/>
      <c r="L125" s="443"/>
      <c r="M125" s="443"/>
      <c r="N125" s="443"/>
      <c r="O125" s="443"/>
      <c r="P125" s="443"/>
      <c r="Q125" s="443"/>
      <c r="R125" s="443"/>
      <c r="S125" s="443"/>
      <c r="T125" s="443"/>
      <c r="U125" s="443"/>
      <c r="V125" s="443"/>
      <c r="W125" s="443"/>
      <c r="X125" s="443"/>
      <c r="Y125" s="443"/>
      <c r="Z125" s="443"/>
    </row>
    <row r="126" spans="2:26" ht="15" customHeight="1">
      <c r="F126" s="443"/>
      <c r="G126" s="443"/>
      <c r="H126" s="443"/>
      <c r="I126" s="443"/>
      <c r="J126" s="443"/>
      <c r="K126" s="443"/>
      <c r="L126" s="443"/>
      <c r="M126" s="443"/>
      <c r="N126" s="443"/>
      <c r="O126" s="443"/>
      <c r="P126" s="443"/>
      <c r="Q126" s="443"/>
      <c r="R126" s="443"/>
      <c r="S126" s="443"/>
      <c r="T126" s="443"/>
      <c r="U126" s="443"/>
      <c r="V126" s="443"/>
      <c r="W126" s="443"/>
      <c r="X126" s="443"/>
      <c r="Y126" s="443"/>
      <c r="Z126" s="443"/>
    </row>
    <row r="127" spans="2:26" ht="15" customHeight="1">
      <c r="F127" s="443"/>
      <c r="G127" s="443"/>
      <c r="H127" s="443"/>
      <c r="I127" s="443"/>
      <c r="J127" s="443"/>
      <c r="K127" s="443"/>
      <c r="L127" s="443"/>
      <c r="M127" s="443"/>
      <c r="N127" s="443"/>
      <c r="O127" s="443"/>
      <c r="P127" s="443"/>
      <c r="Q127" s="443"/>
      <c r="R127" s="443"/>
      <c r="S127" s="443"/>
      <c r="T127" s="443"/>
      <c r="U127" s="443"/>
      <c r="V127" s="443"/>
      <c r="W127" s="443"/>
      <c r="X127" s="443"/>
      <c r="Y127" s="443"/>
      <c r="Z127" s="443"/>
    </row>
    <row r="128" spans="2:26" ht="15" customHeight="1">
      <c r="F128" s="443"/>
      <c r="G128" s="443"/>
      <c r="H128" s="443"/>
      <c r="I128" s="443"/>
      <c r="J128" s="443"/>
      <c r="K128" s="443"/>
      <c r="L128" s="443"/>
      <c r="M128" s="443"/>
      <c r="N128" s="443"/>
      <c r="O128" s="443"/>
      <c r="P128" s="443"/>
      <c r="Q128" s="443"/>
      <c r="R128" s="443"/>
      <c r="S128" s="443"/>
      <c r="T128" s="443"/>
      <c r="U128" s="443"/>
      <c r="V128" s="443"/>
      <c r="W128" s="443"/>
      <c r="X128" s="443"/>
      <c r="Y128" s="443"/>
      <c r="Z128" s="443"/>
    </row>
    <row r="129" spans="6:26" ht="15" customHeight="1">
      <c r="F129" s="443"/>
      <c r="G129" s="443"/>
      <c r="H129" s="443"/>
      <c r="I129" s="443"/>
      <c r="J129" s="443"/>
      <c r="K129" s="443"/>
      <c r="L129" s="443"/>
      <c r="M129" s="443"/>
      <c r="N129" s="443"/>
      <c r="O129" s="443"/>
      <c r="P129" s="443"/>
      <c r="Q129" s="443"/>
      <c r="R129" s="443"/>
      <c r="S129" s="443"/>
      <c r="T129" s="443"/>
      <c r="U129" s="443"/>
      <c r="V129" s="443"/>
      <c r="W129" s="443"/>
      <c r="X129" s="443"/>
      <c r="Y129" s="443"/>
      <c r="Z129" s="443"/>
    </row>
    <row r="130" spans="6:26" ht="15" customHeight="1">
      <c r="F130" s="443"/>
      <c r="G130" s="443"/>
      <c r="H130" s="443"/>
      <c r="I130" s="443"/>
      <c r="J130" s="443"/>
      <c r="K130" s="443"/>
      <c r="L130" s="443"/>
      <c r="M130" s="443"/>
      <c r="N130" s="443"/>
      <c r="O130" s="443"/>
      <c r="P130" s="443"/>
      <c r="Q130" s="443"/>
      <c r="R130" s="443"/>
      <c r="S130" s="443"/>
      <c r="T130" s="443"/>
      <c r="U130" s="443"/>
      <c r="V130" s="443"/>
      <c r="W130" s="443"/>
      <c r="X130" s="443"/>
      <c r="Y130" s="443"/>
      <c r="Z130" s="443"/>
    </row>
    <row r="131" spans="6:26" ht="15" customHeight="1">
      <c r="F131" s="443"/>
      <c r="G131" s="443"/>
      <c r="H131" s="443"/>
      <c r="I131" s="443"/>
      <c r="J131" s="443"/>
      <c r="K131" s="443"/>
      <c r="L131" s="443"/>
      <c r="M131" s="443"/>
      <c r="N131" s="443"/>
      <c r="O131" s="443"/>
      <c r="P131" s="443"/>
      <c r="Q131" s="443"/>
      <c r="R131" s="443"/>
      <c r="S131" s="443"/>
      <c r="T131" s="443"/>
      <c r="U131" s="443"/>
      <c r="V131" s="443"/>
      <c r="W131" s="443"/>
      <c r="X131" s="443"/>
      <c r="Y131" s="443"/>
      <c r="Z131" s="443"/>
    </row>
    <row r="132" spans="6:26" ht="15" customHeight="1">
      <c r="F132" s="443"/>
      <c r="G132" s="443"/>
      <c r="H132" s="443"/>
      <c r="I132" s="443"/>
      <c r="J132" s="443"/>
      <c r="K132" s="443"/>
      <c r="L132" s="443"/>
      <c r="M132" s="443"/>
      <c r="N132" s="443"/>
      <c r="O132" s="443"/>
      <c r="P132" s="443"/>
      <c r="Q132" s="443"/>
      <c r="R132" s="443"/>
      <c r="S132" s="443"/>
      <c r="T132" s="443"/>
      <c r="U132" s="443"/>
      <c r="V132" s="443"/>
      <c r="W132" s="443"/>
      <c r="X132" s="443"/>
      <c r="Y132" s="443"/>
      <c r="Z132" s="443"/>
    </row>
    <row r="133" spans="6:26" ht="15" customHeight="1">
      <c r="F133" s="443"/>
      <c r="G133" s="443"/>
      <c r="H133" s="443"/>
      <c r="I133" s="443"/>
      <c r="J133" s="443"/>
      <c r="K133" s="443"/>
      <c r="L133" s="443"/>
      <c r="M133" s="443"/>
      <c r="N133" s="443"/>
      <c r="O133" s="443"/>
      <c r="P133" s="443"/>
      <c r="Q133" s="443"/>
      <c r="R133" s="443"/>
      <c r="S133" s="443"/>
      <c r="T133" s="443"/>
      <c r="U133" s="443"/>
      <c r="V133" s="443"/>
      <c r="W133" s="443"/>
      <c r="X133" s="443"/>
      <c r="Y133" s="443"/>
      <c r="Z133" s="443"/>
    </row>
    <row r="134" spans="6:26" ht="15" customHeight="1">
      <c r="F134" s="443"/>
      <c r="G134" s="443"/>
      <c r="H134" s="443"/>
      <c r="I134" s="443"/>
      <c r="J134" s="443"/>
      <c r="K134" s="443"/>
      <c r="L134" s="443"/>
      <c r="M134" s="443"/>
      <c r="N134" s="443"/>
      <c r="O134" s="443"/>
      <c r="P134" s="443"/>
      <c r="Q134" s="443"/>
      <c r="R134" s="443"/>
      <c r="S134" s="443"/>
      <c r="T134" s="443"/>
      <c r="U134" s="443"/>
      <c r="V134" s="443"/>
      <c r="W134" s="443"/>
      <c r="X134" s="443"/>
      <c r="Y134" s="443"/>
      <c r="Z134" s="443"/>
    </row>
    <row r="135" spans="6:26" ht="15" customHeight="1">
      <c r="F135" s="443"/>
      <c r="G135" s="443"/>
      <c r="H135" s="443"/>
      <c r="I135" s="443"/>
      <c r="J135" s="443"/>
      <c r="K135" s="443"/>
      <c r="L135" s="443"/>
      <c r="M135" s="443"/>
      <c r="N135" s="443"/>
      <c r="O135" s="443"/>
      <c r="P135" s="443"/>
      <c r="Q135" s="443"/>
      <c r="R135" s="443"/>
      <c r="S135" s="443"/>
      <c r="T135" s="443"/>
      <c r="U135" s="443"/>
      <c r="V135" s="443"/>
      <c r="W135" s="443"/>
      <c r="X135" s="443"/>
      <c r="Y135" s="443"/>
      <c r="Z135" s="443"/>
    </row>
    <row r="136" spans="6:26" ht="15" customHeight="1">
      <c r="F136" s="443"/>
      <c r="G136" s="443"/>
      <c r="H136" s="443"/>
      <c r="I136" s="443"/>
      <c r="J136" s="443"/>
      <c r="K136" s="443"/>
      <c r="L136" s="443"/>
      <c r="M136" s="443"/>
      <c r="N136" s="443"/>
      <c r="O136" s="443"/>
      <c r="P136" s="443"/>
      <c r="Q136" s="443"/>
      <c r="R136" s="443"/>
      <c r="S136" s="443"/>
      <c r="T136" s="443"/>
      <c r="U136" s="443"/>
      <c r="V136" s="443"/>
      <c r="W136" s="443"/>
      <c r="X136" s="443"/>
      <c r="Y136" s="443"/>
      <c r="Z136" s="443"/>
    </row>
    <row r="137" spans="6:26" ht="15" customHeight="1">
      <c r="F137" s="443"/>
      <c r="G137" s="443"/>
      <c r="H137" s="443"/>
      <c r="I137" s="443"/>
      <c r="J137" s="443"/>
      <c r="K137" s="443"/>
      <c r="L137" s="443"/>
      <c r="M137" s="443"/>
      <c r="N137" s="443"/>
      <c r="O137" s="443"/>
      <c r="P137" s="443"/>
      <c r="Q137" s="443"/>
      <c r="R137" s="443"/>
      <c r="S137" s="443"/>
      <c r="T137" s="443"/>
      <c r="U137" s="443"/>
      <c r="V137" s="443"/>
      <c r="W137" s="443"/>
      <c r="X137" s="443"/>
      <c r="Y137" s="443"/>
      <c r="Z137" s="443"/>
    </row>
    <row r="138" spans="6:26" ht="15" customHeight="1">
      <c r="F138" s="443"/>
      <c r="G138" s="443"/>
      <c r="H138" s="443"/>
      <c r="I138" s="443"/>
      <c r="J138" s="443"/>
      <c r="K138" s="443"/>
      <c r="L138" s="443"/>
      <c r="M138" s="443"/>
      <c r="N138" s="443"/>
      <c r="O138" s="443"/>
      <c r="P138" s="443"/>
      <c r="Q138" s="443"/>
      <c r="R138" s="443"/>
      <c r="S138" s="443"/>
      <c r="T138" s="443"/>
      <c r="U138" s="443"/>
      <c r="V138" s="443"/>
      <c r="W138" s="443"/>
      <c r="X138" s="443"/>
      <c r="Y138" s="443"/>
      <c r="Z138" s="443"/>
    </row>
    <row r="139" spans="6:26" ht="15" customHeight="1">
      <c r="F139" s="443"/>
      <c r="G139" s="443"/>
      <c r="H139" s="443"/>
      <c r="I139" s="443"/>
      <c r="J139" s="443"/>
      <c r="K139" s="443"/>
      <c r="L139" s="443"/>
      <c r="M139" s="443"/>
      <c r="N139" s="443"/>
      <c r="O139" s="443"/>
      <c r="P139" s="443"/>
      <c r="Q139" s="443"/>
      <c r="R139" s="443"/>
      <c r="S139" s="443"/>
      <c r="T139" s="443"/>
      <c r="U139" s="443"/>
      <c r="V139" s="443"/>
      <c r="W139" s="443"/>
      <c r="X139" s="443"/>
      <c r="Y139" s="443"/>
      <c r="Z139" s="443"/>
    </row>
    <row r="140" spans="6:26" ht="15" customHeight="1">
      <c r="F140" s="443"/>
      <c r="G140" s="443"/>
      <c r="H140" s="443"/>
      <c r="I140" s="443"/>
      <c r="J140" s="443"/>
      <c r="K140" s="443"/>
      <c r="L140" s="443"/>
      <c r="M140" s="443"/>
      <c r="N140" s="443"/>
      <c r="O140" s="443"/>
      <c r="P140" s="443"/>
      <c r="Q140" s="443"/>
      <c r="R140" s="443"/>
      <c r="S140" s="443"/>
      <c r="T140" s="443"/>
      <c r="U140" s="443"/>
      <c r="V140" s="443"/>
      <c r="W140" s="443"/>
      <c r="X140" s="443"/>
      <c r="Y140" s="443"/>
      <c r="Z140" s="443"/>
    </row>
    <row r="141" spans="6:26" ht="15" customHeight="1">
      <c r="F141" s="443"/>
      <c r="G141" s="443"/>
      <c r="H141" s="443"/>
      <c r="I141" s="443"/>
      <c r="J141" s="443"/>
      <c r="K141" s="443"/>
      <c r="L141" s="443"/>
      <c r="M141" s="443"/>
      <c r="N141" s="443"/>
      <c r="O141" s="443"/>
      <c r="P141" s="443"/>
      <c r="Q141" s="443"/>
      <c r="R141" s="443"/>
      <c r="S141" s="443"/>
      <c r="T141" s="443"/>
      <c r="U141" s="443"/>
      <c r="V141" s="443"/>
      <c r="W141" s="443"/>
      <c r="X141" s="443"/>
      <c r="Y141" s="443"/>
      <c r="Z141" s="443"/>
    </row>
    <row r="142" spans="6:26" ht="15" customHeight="1">
      <c r="F142" s="443"/>
      <c r="G142" s="443"/>
      <c r="H142" s="443"/>
      <c r="I142" s="443"/>
      <c r="J142" s="443"/>
      <c r="K142" s="443"/>
      <c r="L142" s="443"/>
      <c r="M142" s="443"/>
      <c r="N142" s="443"/>
      <c r="O142" s="443"/>
      <c r="P142" s="443"/>
      <c r="Q142" s="443"/>
      <c r="R142" s="443"/>
      <c r="S142" s="443"/>
      <c r="T142" s="443"/>
      <c r="U142" s="443"/>
      <c r="V142" s="443"/>
      <c r="W142" s="443"/>
      <c r="X142" s="443"/>
      <c r="Y142" s="443"/>
      <c r="Z142" s="443"/>
    </row>
    <row r="143" spans="6:26" ht="15" customHeight="1">
      <c r="F143" s="443"/>
      <c r="G143" s="443"/>
      <c r="H143" s="443"/>
      <c r="I143" s="443"/>
      <c r="J143" s="443"/>
      <c r="K143" s="443"/>
      <c r="L143" s="443"/>
      <c r="M143" s="443"/>
      <c r="N143" s="443"/>
      <c r="O143" s="443"/>
      <c r="P143" s="443"/>
      <c r="Q143" s="443"/>
      <c r="R143" s="443"/>
      <c r="S143" s="443"/>
      <c r="T143" s="443"/>
      <c r="U143" s="443"/>
      <c r="V143" s="443"/>
      <c r="W143" s="443"/>
      <c r="X143" s="443"/>
      <c r="Y143" s="443"/>
      <c r="Z143" s="443"/>
    </row>
  </sheetData>
  <sortState ref="B5:E40">
    <sortCondition ref="B5:B40"/>
  </sortState>
  <conditionalFormatting sqref="E3">
    <cfRule type="expression" dxfId="4" priority="3" stopIfTrue="1">
      <formula>NOT(E3="")</formula>
    </cfRule>
  </conditionalFormatting>
  <hyperlinks>
    <hyperlink ref="A2" location="Sisukord!A1" display="Sisukord"/>
  </hyperlink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T138"/>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H20" sqref="H20"/>
    </sheetView>
  </sheetViews>
  <sheetFormatPr defaultColWidth="11.453125" defaultRowHeight="15" customHeight="1"/>
  <cols>
    <col min="1" max="1" width="7.1796875" style="302" customWidth="1"/>
    <col min="2" max="2" width="52" style="443" customWidth="1"/>
    <col min="3" max="3" width="15.7265625" style="443" customWidth="1"/>
    <col min="4" max="4" width="20.7265625" style="443" customWidth="1"/>
    <col min="5" max="5" width="131.7265625" style="443" customWidth="1"/>
    <col min="6" max="212" width="11.453125" style="452"/>
    <col min="213" max="213" width="5.54296875" style="452" customWidth="1"/>
    <col min="214" max="214" width="23.453125" style="452" customWidth="1"/>
    <col min="215" max="215" width="22.54296875" style="452" customWidth="1"/>
    <col min="216" max="216" width="14.453125" style="452" customWidth="1"/>
    <col min="217" max="248" width="13.54296875" style="452" customWidth="1"/>
    <col min="249" max="249" width="48.54296875" style="452" customWidth="1"/>
    <col min="250" max="468" width="11.453125" style="452"/>
    <col min="469" max="469" width="5.54296875" style="452" customWidth="1"/>
    <col min="470" max="470" width="23.453125" style="452" customWidth="1"/>
    <col min="471" max="471" width="22.54296875" style="452" customWidth="1"/>
    <col min="472" max="472" width="14.453125" style="452" customWidth="1"/>
    <col min="473" max="504" width="13.54296875" style="452" customWidth="1"/>
    <col min="505" max="505" width="48.54296875" style="452" customWidth="1"/>
    <col min="506" max="724" width="11.453125" style="452"/>
    <col min="725" max="725" width="5.54296875" style="452" customWidth="1"/>
    <col min="726" max="726" width="23.453125" style="452" customWidth="1"/>
    <col min="727" max="727" width="22.54296875" style="452" customWidth="1"/>
    <col min="728" max="728" width="14.453125" style="452" customWidth="1"/>
    <col min="729" max="760" width="13.54296875" style="452" customWidth="1"/>
    <col min="761" max="761" width="48.54296875" style="452" customWidth="1"/>
    <col min="762" max="980" width="11.453125" style="452"/>
    <col min="981" max="981" width="5.54296875" style="452" customWidth="1"/>
    <col min="982" max="982" width="23.453125" style="452" customWidth="1"/>
    <col min="983" max="983" width="22.54296875" style="452" customWidth="1"/>
    <col min="984" max="984" width="14.453125" style="452" customWidth="1"/>
    <col min="985" max="1016" width="13.54296875" style="452" customWidth="1"/>
    <col min="1017" max="1017" width="48.54296875" style="452" customWidth="1"/>
    <col min="1018" max="1236" width="11.453125" style="452"/>
    <col min="1237" max="1237" width="5.54296875" style="452" customWidth="1"/>
    <col min="1238" max="1238" width="23.453125" style="452" customWidth="1"/>
    <col min="1239" max="1239" width="22.54296875" style="452" customWidth="1"/>
    <col min="1240" max="1240" width="14.453125" style="452" customWidth="1"/>
    <col min="1241" max="1272" width="13.54296875" style="452" customWidth="1"/>
    <col min="1273" max="1273" width="48.54296875" style="452" customWidth="1"/>
    <col min="1274" max="1492" width="11.453125" style="452"/>
    <col min="1493" max="1493" width="5.54296875" style="452" customWidth="1"/>
    <col min="1494" max="1494" width="23.453125" style="452" customWidth="1"/>
    <col min="1495" max="1495" width="22.54296875" style="452" customWidth="1"/>
    <col min="1496" max="1496" width="14.453125" style="452" customWidth="1"/>
    <col min="1497" max="1528" width="13.54296875" style="452" customWidth="1"/>
    <col min="1529" max="1529" width="48.54296875" style="452" customWidth="1"/>
    <col min="1530" max="1748" width="11.453125" style="452"/>
    <col min="1749" max="1749" width="5.54296875" style="452" customWidth="1"/>
    <col min="1750" max="1750" width="23.453125" style="452" customWidth="1"/>
    <col min="1751" max="1751" width="22.54296875" style="452" customWidth="1"/>
    <col min="1752" max="1752" width="14.453125" style="452" customWidth="1"/>
    <col min="1753" max="1784" width="13.54296875" style="452" customWidth="1"/>
    <col min="1785" max="1785" width="48.54296875" style="452" customWidth="1"/>
    <col min="1786" max="2004" width="11.453125" style="452"/>
    <col min="2005" max="2005" width="5.54296875" style="452" customWidth="1"/>
    <col min="2006" max="2006" width="23.453125" style="452" customWidth="1"/>
    <col min="2007" max="2007" width="22.54296875" style="452" customWidth="1"/>
    <col min="2008" max="2008" width="14.453125" style="452" customWidth="1"/>
    <col min="2009" max="2040" width="13.54296875" style="452" customWidth="1"/>
    <col min="2041" max="2041" width="48.54296875" style="452" customWidth="1"/>
    <col min="2042" max="2260" width="11.453125" style="452"/>
    <col min="2261" max="2261" width="5.54296875" style="452" customWidth="1"/>
    <col min="2262" max="2262" width="23.453125" style="452" customWidth="1"/>
    <col min="2263" max="2263" width="22.54296875" style="452" customWidth="1"/>
    <col min="2264" max="2264" width="14.453125" style="452" customWidth="1"/>
    <col min="2265" max="2296" width="13.54296875" style="452" customWidth="1"/>
    <col min="2297" max="2297" width="48.54296875" style="452" customWidth="1"/>
    <col min="2298" max="2516" width="11.453125" style="452"/>
    <col min="2517" max="2517" width="5.54296875" style="452" customWidth="1"/>
    <col min="2518" max="2518" width="23.453125" style="452" customWidth="1"/>
    <col min="2519" max="2519" width="22.54296875" style="452" customWidth="1"/>
    <col min="2520" max="2520" width="14.453125" style="452" customWidth="1"/>
    <col min="2521" max="2552" width="13.54296875" style="452" customWidth="1"/>
    <col min="2553" max="2553" width="48.54296875" style="452" customWidth="1"/>
    <col min="2554" max="2772" width="11.453125" style="452"/>
    <col min="2773" max="2773" width="5.54296875" style="452" customWidth="1"/>
    <col min="2774" max="2774" width="23.453125" style="452" customWidth="1"/>
    <col min="2775" max="2775" width="22.54296875" style="452" customWidth="1"/>
    <col min="2776" max="2776" width="14.453125" style="452" customWidth="1"/>
    <col min="2777" max="2808" width="13.54296875" style="452" customWidth="1"/>
    <col min="2809" max="2809" width="48.54296875" style="452" customWidth="1"/>
    <col min="2810" max="3028" width="11.453125" style="452"/>
    <col min="3029" max="3029" width="5.54296875" style="452" customWidth="1"/>
    <col min="3030" max="3030" width="23.453125" style="452" customWidth="1"/>
    <col min="3031" max="3031" width="22.54296875" style="452" customWidth="1"/>
    <col min="3032" max="3032" width="14.453125" style="452" customWidth="1"/>
    <col min="3033" max="3064" width="13.54296875" style="452" customWidth="1"/>
    <col min="3065" max="3065" width="48.54296875" style="452" customWidth="1"/>
    <col min="3066" max="3284" width="11.453125" style="452"/>
    <col min="3285" max="3285" width="5.54296875" style="452" customWidth="1"/>
    <col min="3286" max="3286" width="23.453125" style="452" customWidth="1"/>
    <col min="3287" max="3287" width="22.54296875" style="452" customWidth="1"/>
    <col min="3288" max="3288" width="14.453125" style="452" customWidth="1"/>
    <col min="3289" max="3320" width="13.54296875" style="452" customWidth="1"/>
    <col min="3321" max="3321" width="48.54296875" style="452" customWidth="1"/>
    <col min="3322" max="3540" width="11.453125" style="452"/>
    <col min="3541" max="3541" width="5.54296875" style="452" customWidth="1"/>
    <col min="3542" max="3542" width="23.453125" style="452" customWidth="1"/>
    <col min="3543" max="3543" width="22.54296875" style="452" customWidth="1"/>
    <col min="3544" max="3544" width="14.453125" style="452" customWidth="1"/>
    <col min="3545" max="3576" width="13.54296875" style="452" customWidth="1"/>
    <col min="3577" max="3577" width="48.54296875" style="452" customWidth="1"/>
    <col min="3578" max="3796" width="11.453125" style="452"/>
    <col min="3797" max="3797" width="5.54296875" style="452" customWidth="1"/>
    <col min="3798" max="3798" width="23.453125" style="452" customWidth="1"/>
    <col min="3799" max="3799" width="22.54296875" style="452" customWidth="1"/>
    <col min="3800" max="3800" width="14.453125" style="452" customWidth="1"/>
    <col min="3801" max="3832" width="13.54296875" style="452" customWidth="1"/>
    <col min="3833" max="3833" width="48.54296875" style="452" customWidth="1"/>
    <col min="3834" max="4052" width="11.453125" style="452"/>
    <col min="4053" max="4053" width="5.54296875" style="452" customWidth="1"/>
    <col min="4054" max="4054" width="23.453125" style="452" customWidth="1"/>
    <col min="4055" max="4055" width="22.54296875" style="452" customWidth="1"/>
    <col min="4056" max="4056" width="14.453125" style="452" customWidth="1"/>
    <col min="4057" max="4088" width="13.54296875" style="452" customWidth="1"/>
    <col min="4089" max="4089" width="48.54296875" style="452" customWidth="1"/>
    <col min="4090" max="4308" width="11.453125" style="452"/>
    <col min="4309" max="4309" width="5.54296875" style="452" customWidth="1"/>
    <col min="4310" max="4310" width="23.453125" style="452" customWidth="1"/>
    <col min="4311" max="4311" width="22.54296875" style="452" customWidth="1"/>
    <col min="4312" max="4312" width="14.453125" style="452" customWidth="1"/>
    <col min="4313" max="4344" width="13.54296875" style="452" customWidth="1"/>
    <col min="4345" max="4345" width="48.54296875" style="452" customWidth="1"/>
    <col min="4346" max="4564" width="11.453125" style="452"/>
    <col min="4565" max="4565" width="5.54296875" style="452" customWidth="1"/>
    <col min="4566" max="4566" width="23.453125" style="452" customWidth="1"/>
    <col min="4567" max="4567" width="22.54296875" style="452" customWidth="1"/>
    <col min="4568" max="4568" width="14.453125" style="452" customWidth="1"/>
    <col min="4569" max="4600" width="13.54296875" style="452" customWidth="1"/>
    <col min="4601" max="4601" width="48.54296875" style="452" customWidth="1"/>
    <col min="4602" max="4820" width="11.453125" style="452"/>
    <col min="4821" max="4821" width="5.54296875" style="452" customWidth="1"/>
    <col min="4822" max="4822" width="23.453125" style="452" customWidth="1"/>
    <col min="4823" max="4823" width="22.54296875" style="452" customWidth="1"/>
    <col min="4824" max="4824" width="14.453125" style="452" customWidth="1"/>
    <col min="4825" max="4856" width="13.54296875" style="452" customWidth="1"/>
    <col min="4857" max="4857" width="48.54296875" style="452" customWidth="1"/>
    <col min="4858" max="5076" width="11.453125" style="452"/>
    <col min="5077" max="5077" width="5.54296875" style="452" customWidth="1"/>
    <col min="5078" max="5078" width="23.453125" style="452" customWidth="1"/>
    <col min="5079" max="5079" width="22.54296875" style="452" customWidth="1"/>
    <col min="5080" max="5080" width="14.453125" style="452" customWidth="1"/>
    <col min="5081" max="5112" width="13.54296875" style="452" customWidth="1"/>
    <col min="5113" max="5113" width="48.54296875" style="452" customWidth="1"/>
    <col min="5114" max="5332" width="11.453125" style="452"/>
    <col min="5333" max="5333" width="5.54296875" style="452" customWidth="1"/>
    <col min="5334" max="5334" width="23.453125" style="452" customWidth="1"/>
    <col min="5335" max="5335" width="22.54296875" style="452" customWidth="1"/>
    <col min="5336" max="5336" width="14.453125" style="452" customWidth="1"/>
    <col min="5337" max="5368" width="13.54296875" style="452" customWidth="1"/>
    <col min="5369" max="5369" width="48.54296875" style="452" customWidth="1"/>
    <col min="5370" max="5588" width="11.453125" style="452"/>
    <col min="5589" max="5589" width="5.54296875" style="452" customWidth="1"/>
    <col min="5590" max="5590" width="23.453125" style="452" customWidth="1"/>
    <col min="5591" max="5591" width="22.54296875" style="452" customWidth="1"/>
    <col min="5592" max="5592" width="14.453125" style="452" customWidth="1"/>
    <col min="5593" max="5624" width="13.54296875" style="452" customWidth="1"/>
    <col min="5625" max="5625" width="48.54296875" style="452" customWidth="1"/>
    <col min="5626" max="5844" width="11.453125" style="452"/>
    <col min="5845" max="5845" width="5.54296875" style="452" customWidth="1"/>
    <col min="5846" max="5846" width="23.453125" style="452" customWidth="1"/>
    <col min="5847" max="5847" width="22.54296875" style="452" customWidth="1"/>
    <col min="5848" max="5848" width="14.453125" style="452" customWidth="1"/>
    <col min="5849" max="5880" width="13.54296875" style="452" customWidth="1"/>
    <col min="5881" max="5881" width="48.54296875" style="452" customWidth="1"/>
    <col min="5882" max="6100" width="11.453125" style="452"/>
    <col min="6101" max="6101" width="5.54296875" style="452" customWidth="1"/>
    <col min="6102" max="6102" width="23.453125" style="452" customWidth="1"/>
    <col min="6103" max="6103" width="22.54296875" style="452" customWidth="1"/>
    <col min="6104" max="6104" width="14.453125" style="452" customWidth="1"/>
    <col min="6105" max="6136" width="13.54296875" style="452" customWidth="1"/>
    <col min="6137" max="6137" width="48.54296875" style="452" customWidth="1"/>
    <col min="6138" max="6356" width="11.453125" style="452"/>
    <col min="6357" max="6357" width="5.54296875" style="452" customWidth="1"/>
    <col min="6358" max="6358" width="23.453125" style="452" customWidth="1"/>
    <col min="6359" max="6359" width="22.54296875" style="452" customWidth="1"/>
    <col min="6360" max="6360" width="14.453125" style="452" customWidth="1"/>
    <col min="6361" max="6392" width="13.54296875" style="452" customWidth="1"/>
    <col min="6393" max="6393" width="48.54296875" style="452" customWidth="1"/>
    <col min="6394" max="6612" width="11.453125" style="452"/>
    <col min="6613" max="6613" width="5.54296875" style="452" customWidth="1"/>
    <col min="6614" max="6614" width="23.453125" style="452" customWidth="1"/>
    <col min="6615" max="6615" width="22.54296875" style="452" customWidth="1"/>
    <col min="6616" max="6616" width="14.453125" style="452" customWidth="1"/>
    <col min="6617" max="6648" width="13.54296875" style="452" customWidth="1"/>
    <col min="6649" max="6649" width="48.54296875" style="452" customWidth="1"/>
    <col min="6650" max="6868" width="11.453125" style="452"/>
    <col min="6869" max="6869" width="5.54296875" style="452" customWidth="1"/>
    <col min="6870" max="6870" width="23.453125" style="452" customWidth="1"/>
    <col min="6871" max="6871" width="22.54296875" style="452" customWidth="1"/>
    <col min="6872" max="6872" width="14.453125" style="452" customWidth="1"/>
    <col min="6873" max="6904" width="13.54296875" style="452" customWidth="1"/>
    <col min="6905" max="6905" width="48.54296875" style="452" customWidth="1"/>
    <col min="6906" max="7124" width="11.453125" style="452"/>
    <col min="7125" max="7125" width="5.54296875" style="452" customWidth="1"/>
    <col min="7126" max="7126" width="23.453125" style="452" customWidth="1"/>
    <col min="7127" max="7127" width="22.54296875" style="452" customWidth="1"/>
    <col min="7128" max="7128" width="14.453125" style="452" customWidth="1"/>
    <col min="7129" max="7160" width="13.54296875" style="452" customWidth="1"/>
    <col min="7161" max="7161" width="48.54296875" style="452" customWidth="1"/>
    <col min="7162" max="7380" width="11.453125" style="452"/>
    <col min="7381" max="7381" width="5.54296875" style="452" customWidth="1"/>
    <col min="7382" max="7382" width="23.453125" style="452" customWidth="1"/>
    <col min="7383" max="7383" width="22.54296875" style="452" customWidth="1"/>
    <col min="7384" max="7384" width="14.453125" style="452" customWidth="1"/>
    <col min="7385" max="7416" width="13.54296875" style="452" customWidth="1"/>
    <col min="7417" max="7417" width="48.54296875" style="452" customWidth="1"/>
    <col min="7418" max="7636" width="11.453125" style="452"/>
    <col min="7637" max="7637" width="5.54296875" style="452" customWidth="1"/>
    <col min="7638" max="7638" width="23.453125" style="452" customWidth="1"/>
    <col min="7639" max="7639" width="22.54296875" style="452" customWidth="1"/>
    <col min="7640" max="7640" width="14.453125" style="452" customWidth="1"/>
    <col min="7641" max="7672" width="13.54296875" style="452" customWidth="1"/>
    <col min="7673" max="7673" width="48.54296875" style="452" customWidth="1"/>
    <col min="7674" max="7892" width="11.453125" style="452"/>
    <col min="7893" max="7893" width="5.54296875" style="452" customWidth="1"/>
    <col min="7894" max="7894" width="23.453125" style="452" customWidth="1"/>
    <col min="7895" max="7895" width="22.54296875" style="452" customWidth="1"/>
    <col min="7896" max="7896" width="14.453125" style="452" customWidth="1"/>
    <col min="7897" max="7928" width="13.54296875" style="452" customWidth="1"/>
    <col min="7929" max="7929" width="48.54296875" style="452" customWidth="1"/>
    <col min="7930" max="8148" width="11.453125" style="452"/>
    <col min="8149" max="8149" width="5.54296875" style="452" customWidth="1"/>
    <col min="8150" max="8150" width="23.453125" style="452" customWidth="1"/>
    <col min="8151" max="8151" width="22.54296875" style="452" customWidth="1"/>
    <col min="8152" max="8152" width="14.453125" style="452" customWidth="1"/>
    <col min="8153" max="8184" width="13.54296875" style="452" customWidth="1"/>
    <col min="8185" max="8185" width="48.54296875" style="452" customWidth="1"/>
    <col min="8186" max="8404" width="11.453125" style="452"/>
    <col min="8405" max="8405" width="5.54296875" style="452" customWidth="1"/>
    <col min="8406" max="8406" width="23.453125" style="452" customWidth="1"/>
    <col min="8407" max="8407" width="22.54296875" style="452" customWidth="1"/>
    <col min="8408" max="8408" width="14.453125" style="452" customWidth="1"/>
    <col min="8409" max="8440" width="13.54296875" style="452" customWidth="1"/>
    <col min="8441" max="8441" width="48.54296875" style="452" customWidth="1"/>
    <col min="8442" max="8660" width="11.453125" style="452"/>
    <col min="8661" max="8661" width="5.54296875" style="452" customWidth="1"/>
    <col min="8662" max="8662" width="23.453125" style="452" customWidth="1"/>
    <col min="8663" max="8663" width="22.54296875" style="452" customWidth="1"/>
    <col min="8664" max="8664" width="14.453125" style="452" customWidth="1"/>
    <col min="8665" max="8696" width="13.54296875" style="452" customWidth="1"/>
    <col min="8697" max="8697" width="48.54296875" style="452" customWidth="1"/>
    <col min="8698" max="8916" width="11.453125" style="452"/>
    <col min="8917" max="8917" width="5.54296875" style="452" customWidth="1"/>
    <col min="8918" max="8918" width="23.453125" style="452" customWidth="1"/>
    <col min="8919" max="8919" width="22.54296875" style="452" customWidth="1"/>
    <col min="8920" max="8920" width="14.453125" style="452" customWidth="1"/>
    <col min="8921" max="8952" width="13.54296875" style="452" customWidth="1"/>
    <col min="8953" max="8953" width="48.54296875" style="452" customWidth="1"/>
    <col min="8954" max="9172" width="11.453125" style="452"/>
    <col min="9173" max="9173" width="5.54296875" style="452" customWidth="1"/>
    <col min="9174" max="9174" width="23.453125" style="452" customWidth="1"/>
    <col min="9175" max="9175" width="22.54296875" style="452" customWidth="1"/>
    <col min="9176" max="9176" width="14.453125" style="452" customWidth="1"/>
    <col min="9177" max="9208" width="13.54296875" style="452" customWidth="1"/>
    <col min="9209" max="9209" width="48.54296875" style="452" customWidth="1"/>
    <col min="9210" max="9428" width="11.453125" style="452"/>
    <col min="9429" max="9429" width="5.54296875" style="452" customWidth="1"/>
    <col min="9430" max="9430" width="23.453125" style="452" customWidth="1"/>
    <col min="9431" max="9431" width="22.54296875" style="452" customWidth="1"/>
    <col min="9432" max="9432" width="14.453125" style="452" customWidth="1"/>
    <col min="9433" max="9464" width="13.54296875" style="452" customWidth="1"/>
    <col min="9465" max="9465" width="48.54296875" style="452" customWidth="1"/>
    <col min="9466" max="9684" width="11.453125" style="452"/>
    <col min="9685" max="9685" width="5.54296875" style="452" customWidth="1"/>
    <col min="9686" max="9686" width="23.453125" style="452" customWidth="1"/>
    <col min="9687" max="9687" width="22.54296875" style="452" customWidth="1"/>
    <col min="9688" max="9688" width="14.453125" style="452" customWidth="1"/>
    <col min="9689" max="9720" width="13.54296875" style="452" customWidth="1"/>
    <col min="9721" max="9721" width="48.54296875" style="452" customWidth="1"/>
    <col min="9722" max="9940" width="11.453125" style="452"/>
    <col min="9941" max="9941" width="5.54296875" style="452" customWidth="1"/>
    <col min="9942" max="9942" width="23.453125" style="452" customWidth="1"/>
    <col min="9943" max="9943" width="22.54296875" style="452" customWidth="1"/>
    <col min="9944" max="9944" width="14.453125" style="452" customWidth="1"/>
    <col min="9945" max="9976" width="13.54296875" style="452" customWidth="1"/>
    <col min="9977" max="9977" width="48.54296875" style="452" customWidth="1"/>
    <col min="9978" max="10196" width="11.453125" style="452"/>
    <col min="10197" max="10197" width="5.54296875" style="452" customWidth="1"/>
    <col min="10198" max="10198" width="23.453125" style="452" customWidth="1"/>
    <col min="10199" max="10199" width="22.54296875" style="452" customWidth="1"/>
    <col min="10200" max="10200" width="14.453125" style="452" customWidth="1"/>
    <col min="10201" max="10232" width="13.54296875" style="452" customWidth="1"/>
    <col min="10233" max="10233" width="48.54296875" style="452" customWidth="1"/>
    <col min="10234" max="10452" width="11.453125" style="452"/>
    <col min="10453" max="10453" width="5.54296875" style="452" customWidth="1"/>
    <col min="10454" max="10454" width="23.453125" style="452" customWidth="1"/>
    <col min="10455" max="10455" width="22.54296875" style="452" customWidth="1"/>
    <col min="10456" max="10456" width="14.453125" style="452" customWidth="1"/>
    <col min="10457" max="10488" width="13.54296875" style="452" customWidth="1"/>
    <col min="10489" max="10489" width="48.54296875" style="452" customWidth="1"/>
    <col min="10490" max="10708" width="11.453125" style="452"/>
    <col min="10709" max="10709" width="5.54296875" style="452" customWidth="1"/>
    <col min="10710" max="10710" width="23.453125" style="452" customWidth="1"/>
    <col min="10711" max="10711" width="22.54296875" style="452" customWidth="1"/>
    <col min="10712" max="10712" width="14.453125" style="452" customWidth="1"/>
    <col min="10713" max="10744" width="13.54296875" style="452" customWidth="1"/>
    <col min="10745" max="10745" width="48.54296875" style="452" customWidth="1"/>
    <col min="10746" max="10964" width="11.453125" style="452"/>
    <col min="10965" max="10965" width="5.54296875" style="452" customWidth="1"/>
    <col min="10966" max="10966" width="23.453125" style="452" customWidth="1"/>
    <col min="10967" max="10967" width="22.54296875" style="452" customWidth="1"/>
    <col min="10968" max="10968" width="14.453125" style="452" customWidth="1"/>
    <col min="10969" max="11000" width="13.54296875" style="452" customWidth="1"/>
    <col min="11001" max="11001" width="48.54296875" style="452" customWidth="1"/>
    <col min="11002" max="11220" width="11.453125" style="452"/>
    <col min="11221" max="11221" width="5.54296875" style="452" customWidth="1"/>
    <col min="11222" max="11222" width="23.453125" style="452" customWidth="1"/>
    <col min="11223" max="11223" width="22.54296875" style="452" customWidth="1"/>
    <col min="11224" max="11224" width="14.453125" style="452" customWidth="1"/>
    <col min="11225" max="11256" width="13.54296875" style="452" customWidth="1"/>
    <col min="11257" max="11257" width="48.54296875" style="452" customWidth="1"/>
    <col min="11258" max="11476" width="11.453125" style="452"/>
    <col min="11477" max="11477" width="5.54296875" style="452" customWidth="1"/>
    <col min="11478" max="11478" width="23.453125" style="452" customWidth="1"/>
    <col min="11479" max="11479" width="22.54296875" style="452" customWidth="1"/>
    <col min="11480" max="11480" width="14.453125" style="452" customWidth="1"/>
    <col min="11481" max="11512" width="13.54296875" style="452" customWidth="1"/>
    <col min="11513" max="11513" width="48.54296875" style="452" customWidth="1"/>
    <col min="11514" max="11732" width="11.453125" style="452"/>
    <col min="11733" max="11733" width="5.54296875" style="452" customWidth="1"/>
    <col min="11734" max="11734" width="23.453125" style="452" customWidth="1"/>
    <col min="11735" max="11735" width="22.54296875" style="452" customWidth="1"/>
    <col min="11736" max="11736" width="14.453125" style="452" customWidth="1"/>
    <col min="11737" max="11768" width="13.54296875" style="452" customWidth="1"/>
    <col min="11769" max="11769" width="48.54296875" style="452" customWidth="1"/>
    <col min="11770" max="11988" width="11.453125" style="452"/>
    <col min="11989" max="11989" width="5.54296875" style="452" customWidth="1"/>
    <col min="11990" max="11990" width="23.453125" style="452" customWidth="1"/>
    <col min="11991" max="11991" width="22.54296875" style="452" customWidth="1"/>
    <col min="11992" max="11992" width="14.453125" style="452" customWidth="1"/>
    <col min="11993" max="12024" width="13.54296875" style="452" customWidth="1"/>
    <col min="12025" max="12025" width="48.54296875" style="452" customWidth="1"/>
    <col min="12026" max="12244" width="11.453125" style="452"/>
    <col min="12245" max="12245" width="5.54296875" style="452" customWidth="1"/>
    <col min="12246" max="12246" width="23.453125" style="452" customWidth="1"/>
    <col min="12247" max="12247" width="22.54296875" style="452" customWidth="1"/>
    <col min="12248" max="12248" width="14.453125" style="452" customWidth="1"/>
    <col min="12249" max="12280" width="13.54296875" style="452" customWidth="1"/>
    <col min="12281" max="12281" width="48.54296875" style="452" customWidth="1"/>
    <col min="12282" max="12500" width="11.453125" style="452"/>
    <col min="12501" max="12501" width="5.54296875" style="452" customWidth="1"/>
    <col min="12502" max="12502" width="23.453125" style="452" customWidth="1"/>
    <col min="12503" max="12503" width="22.54296875" style="452" customWidth="1"/>
    <col min="12504" max="12504" width="14.453125" style="452" customWidth="1"/>
    <col min="12505" max="12536" width="13.54296875" style="452" customWidth="1"/>
    <col min="12537" max="12537" width="48.54296875" style="452" customWidth="1"/>
    <col min="12538" max="12756" width="11.453125" style="452"/>
    <col min="12757" max="12757" width="5.54296875" style="452" customWidth="1"/>
    <col min="12758" max="12758" width="23.453125" style="452" customWidth="1"/>
    <col min="12759" max="12759" width="22.54296875" style="452" customWidth="1"/>
    <col min="12760" max="12760" width="14.453125" style="452" customWidth="1"/>
    <col min="12761" max="12792" width="13.54296875" style="452" customWidth="1"/>
    <col min="12793" max="12793" width="48.54296875" style="452" customWidth="1"/>
    <col min="12794" max="13012" width="11.453125" style="452"/>
    <col min="13013" max="13013" width="5.54296875" style="452" customWidth="1"/>
    <col min="13014" max="13014" width="23.453125" style="452" customWidth="1"/>
    <col min="13015" max="13015" width="22.54296875" style="452" customWidth="1"/>
    <col min="13016" max="13016" width="14.453125" style="452" customWidth="1"/>
    <col min="13017" max="13048" width="13.54296875" style="452" customWidth="1"/>
    <col min="13049" max="13049" width="48.54296875" style="452" customWidth="1"/>
    <col min="13050" max="13268" width="11.453125" style="452"/>
    <col min="13269" max="13269" width="5.54296875" style="452" customWidth="1"/>
    <col min="13270" max="13270" width="23.453125" style="452" customWidth="1"/>
    <col min="13271" max="13271" width="22.54296875" style="452" customWidth="1"/>
    <col min="13272" max="13272" width="14.453125" style="452" customWidth="1"/>
    <col min="13273" max="13304" width="13.54296875" style="452" customWidth="1"/>
    <col min="13305" max="13305" width="48.54296875" style="452" customWidth="1"/>
    <col min="13306" max="13524" width="11.453125" style="452"/>
    <col min="13525" max="13525" width="5.54296875" style="452" customWidth="1"/>
    <col min="13526" max="13526" width="23.453125" style="452" customWidth="1"/>
    <col min="13527" max="13527" width="22.54296875" style="452" customWidth="1"/>
    <col min="13528" max="13528" width="14.453125" style="452" customWidth="1"/>
    <col min="13529" max="13560" width="13.54296875" style="452" customWidth="1"/>
    <col min="13561" max="13561" width="48.54296875" style="452" customWidth="1"/>
    <col min="13562" max="13780" width="11.453125" style="452"/>
    <col min="13781" max="13781" width="5.54296875" style="452" customWidth="1"/>
    <col min="13782" max="13782" width="23.453125" style="452" customWidth="1"/>
    <col min="13783" max="13783" width="22.54296875" style="452" customWidth="1"/>
    <col min="13784" max="13784" width="14.453125" style="452" customWidth="1"/>
    <col min="13785" max="13816" width="13.54296875" style="452" customWidth="1"/>
    <col min="13817" max="13817" width="48.54296875" style="452" customWidth="1"/>
    <col min="13818" max="14036" width="11.453125" style="452"/>
    <col min="14037" max="14037" width="5.54296875" style="452" customWidth="1"/>
    <col min="14038" max="14038" width="23.453125" style="452" customWidth="1"/>
    <col min="14039" max="14039" width="22.54296875" style="452" customWidth="1"/>
    <col min="14040" max="14040" width="14.453125" style="452" customWidth="1"/>
    <col min="14041" max="14072" width="13.54296875" style="452" customWidth="1"/>
    <col min="14073" max="14073" width="48.54296875" style="452" customWidth="1"/>
    <col min="14074" max="14292" width="11.453125" style="452"/>
    <col min="14293" max="14293" width="5.54296875" style="452" customWidth="1"/>
    <col min="14294" max="14294" width="23.453125" style="452" customWidth="1"/>
    <col min="14295" max="14295" width="22.54296875" style="452" customWidth="1"/>
    <col min="14296" max="14296" width="14.453125" style="452" customWidth="1"/>
    <col min="14297" max="14328" width="13.54296875" style="452" customWidth="1"/>
    <col min="14329" max="14329" width="48.54296875" style="452" customWidth="1"/>
    <col min="14330" max="14548" width="11.453125" style="452"/>
    <col min="14549" max="14549" width="5.54296875" style="452" customWidth="1"/>
    <col min="14550" max="14550" width="23.453125" style="452" customWidth="1"/>
    <col min="14551" max="14551" width="22.54296875" style="452" customWidth="1"/>
    <col min="14552" max="14552" width="14.453125" style="452" customWidth="1"/>
    <col min="14553" max="14584" width="13.54296875" style="452" customWidth="1"/>
    <col min="14585" max="14585" width="48.54296875" style="452" customWidth="1"/>
    <col min="14586" max="14804" width="11.453125" style="452"/>
    <col min="14805" max="14805" width="5.54296875" style="452" customWidth="1"/>
    <col min="14806" max="14806" width="23.453125" style="452" customWidth="1"/>
    <col min="14807" max="14807" width="22.54296875" style="452" customWidth="1"/>
    <col min="14808" max="14808" width="14.453125" style="452" customWidth="1"/>
    <col min="14809" max="14840" width="13.54296875" style="452" customWidth="1"/>
    <col min="14841" max="14841" width="48.54296875" style="452" customWidth="1"/>
    <col min="14842" max="15060" width="11.453125" style="452"/>
    <col min="15061" max="15061" width="5.54296875" style="452" customWidth="1"/>
    <col min="15062" max="15062" width="23.453125" style="452" customWidth="1"/>
    <col min="15063" max="15063" width="22.54296875" style="452" customWidth="1"/>
    <col min="15064" max="15064" width="14.453125" style="452" customWidth="1"/>
    <col min="15065" max="15096" width="13.54296875" style="452" customWidth="1"/>
    <col min="15097" max="15097" width="48.54296875" style="452" customWidth="1"/>
    <col min="15098" max="15316" width="11.453125" style="452"/>
    <col min="15317" max="15317" width="5.54296875" style="452" customWidth="1"/>
    <col min="15318" max="15318" width="23.453125" style="452" customWidth="1"/>
    <col min="15319" max="15319" width="22.54296875" style="452" customWidth="1"/>
    <col min="15320" max="15320" width="14.453125" style="452" customWidth="1"/>
    <col min="15321" max="15352" width="13.54296875" style="452" customWidth="1"/>
    <col min="15353" max="15353" width="48.54296875" style="452" customWidth="1"/>
    <col min="15354" max="15572" width="11.453125" style="452"/>
    <col min="15573" max="15573" width="5.54296875" style="452" customWidth="1"/>
    <col min="15574" max="15574" width="23.453125" style="452" customWidth="1"/>
    <col min="15575" max="15575" width="22.54296875" style="452" customWidth="1"/>
    <col min="15576" max="15576" width="14.453125" style="452" customWidth="1"/>
    <col min="15577" max="15608" width="13.54296875" style="452" customWidth="1"/>
    <col min="15609" max="15609" width="48.54296875" style="452" customWidth="1"/>
    <col min="15610" max="15828" width="11.453125" style="452"/>
    <col min="15829" max="15829" width="5.54296875" style="452" customWidth="1"/>
    <col min="15830" max="15830" width="23.453125" style="452" customWidth="1"/>
    <col min="15831" max="15831" width="22.54296875" style="452" customWidth="1"/>
    <col min="15832" max="15832" width="14.453125" style="452" customWidth="1"/>
    <col min="15833" max="15864" width="13.54296875" style="452" customWidth="1"/>
    <col min="15865" max="15865" width="48.54296875" style="452" customWidth="1"/>
    <col min="15866" max="16084" width="11.453125" style="452"/>
    <col min="16085" max="16085" width="5.54296875" style="452" customWidth="1"/>
    <col min="16086" max="16086" width="23.453125" style="452" customWidth="1"/>
    <col min="16087" max="16087" width="22.54296875" style="452" customWidth="1"/>
    <col min="16088" max="16088" width="14.453125" style="452" customWidth="1"/>
    <col min="16089" max="16120" width="13.54296875" style="452" customWidth="1"/>
    <col min="16121" max="16121" width="48.54296875" style="452" customWidth="1"/>
    <col min="16122" max="16384" width="11.453125" style="452"/>
  </cols>
  <sheetData>
    <row r="1" spans="1:20" s="297" customFormat="1" ht="21" customHeight="1">
      <c r="A1" s="302"/>
      <c r="B1" s="291" t="s">
        <v>370</v>
      </c>
    </row>
    <row r="2" spans="1:20" s="297" customFormat="1" ht="15" customHeight="1">
      <c r="A2" s="295" t="s">
        <v>1</v>
      </c>
      <c r="B2" s="319"/>
    </row>
    <row r="3" spans="1:20" s="395" customFormat="1" ht="15" customHeight="1">
      <c r="A3" s="302"/>
      <c r="B3" s="320" t="s">
        <v>371</v>
      </c>
      <c r="C3" s="423"/>
      <c r="D3" s="423"/>
      <c r="E3" s="424"/>
    </row>
    <row r="4" spans="1:20" s="297" customFormat="1" ht="15" customHeight="1">
      <c r="B4" s="405" t="s">
        <v>1450</v>
      </c>
      <c r="C4" s="405" t="s">
        <v>126</v>
      </c>
      <c r="D4" s="405" t="s">
        <v>81</v>
      </c>
      <c r="E4" s="425" t="s">
        <v>142</v>
      </c>
    </row>
    <row r="5" spans="1:20" ht="15" customHeight="1">
      <c r="B5" s="332" t="s">
        <v>1500</v>
      </c>
      <c r="C5" s="438">
        <f>Eriheited!G291</f>
        <v>7.8935919999999996E-3</v>
      </c>
      <c r="D5" s="337" t="s">
        <v>2017</v>
      </c>
      <c r="E5" s="437" t="s">
        <v>375</v>
      </c>
      <c r="F5" s="443"/>
      <c r="G5" s="443"/>
      <c r="H5" s="443"/>
      <c r="I5" s="443"/>
      <c r="J5" s="443"/>
      <c r="K5" s="443"/>
      <c r="L5" s="443"/>
      <c r="M5" s="443"/>
      <c r="N5" s="443"/>
      <c r="O5" s="443"/>
      <c r="P5" s="443"/>
      <c r="Q5" s="443"/>
      <c r="R5" s="443"/>
      <c r="S5" s="443"/>
      <c r="T5" s="443"/>
    </row>
    <row r="6" spans="1:20" ht="15" customHeight="1">
      <c r="B6" s="332" t="s">
        <v>1501</v>
      </c>
      <c r="C6" s="438">
        <f>Eriheited!G292</f>
        <v>0</v>
      </c>
      <c r="D6" s="337" t="s">
        <v>2017</v>
      </c>
      <c r="E6" s="323" t="s">
        <v>146</v>
      </c>
      <c r="F6" s="443"/>
      <c r="G6" s="443"/>
      <c r="H6" s="443"/>
      <c r="I6" s="443"/>
      <c r="J6" s="443"/>
      <c r="K6" s="443"/>
      <c r="L6" s="443"/>
      <c r="M6" s="443"/>
      <c r="N6" s="443"/>
      <c r="O6" s="443"/>
      <c r="P6" s="443"/>
      <c r="Q6" s="443"/>
      <c r="R6" s="443"/>
      <c r="S6" s="443"/>
      <c r="T6" s="443"/>
    </row>
    <row r="7" spans="1:20" ht="15" customHeight="1">
      <c r="B7" s="332" t="s">
        <v>114</v>
      </c>
      <c r="C7" s="438">
        <f>Eriheited!G293</f>
        <v>0</v>
      </c>
      <c r="D7" s="337" t="s">
        <v>2017</v>
      </c>
      <c r="E7" s="323" t="s">
        <v>146</v>
      </c>
      <c r="F7" s="443"/>
      <c r="G7" s="443"/>
      <c r="H7" s="443"/>
      <c r="I7" s="443"/>
      <c r="J7" s="443"/>
      <c r="K7" s="443"/>
      <c r="L7" s="443"/>
      <c r="M7" s="443"/>
      <c r="N7" s="443"/>
      <c r="O7" s="443"/>
      <c r="P7" s="443"/>
      <c r="Q7" s="443"/>
      <c r="R7" s="443"/>
      <c r="S7" s="443"/>
      <c r="T7" s="443"/>
    </row>
    <row r="8" spans="1:20" ht="15" customHeight="1">
      <c r="B8" s="332" t="s">
        <v>376</v>
      </c>
      <c r="C8" s="438">
        <f>Eriheited!G294</f>
        <v>0</v>
      </c>
      <c r="D8" s="337" t="s">
        <v>2017</v>
      </c>
      <c r="E8" s="440" t="s">
        <v>1439</v>
      </c>
      <c r="F8" s="443"/>
      <c r="G8" s="443"/>
      <c r="H8" s="443"/>
      <c r="I8" s="443"/>
      <c r="J8" s="443"/>
      <c r="K8" s="443"/>
      <c r="L8" s="443"/>
      <c r="M8" s="443"/>
      <c r="N8" s="443"/>
      <c r="O8" s="443"/>
      <c r="P8" s="443"/>
      <c r="Q8" s="443"/>
      <c r="R8" s="443"/>
      <c r="S8" s="443"/>
      <c r="T8" s="443"/>
    </row>
    <row r="9" spans="1:20" s="297" customFormat="1" ht="15" customHeight="1">
      <c r="A9" s="302"/>
      <c r="B9" s="360" t="s">
        <v>1511</v>
      </c>
      <c r="C9" s="438">
        <f>Eriheited!G295</f>
        <v>6.895304454514524E-2</v>
      </c>
      <c r="D9" s="337" t="s">
        <v>2017</v>
      </c>
      <c r="E9" s="323" t="s">
        <v>1941</v>
      </c>
    </row>
    <row r="10" spans="1:20" s="297" customFormat="1" ht="15" customHeight="1">
      <c r="A10" s="302"/>
      <c r="B10" s="360" t="s">
        <v>1512</v>
      </c>
      <c r="C10" s="438">
        <f>Eriheited!G296</f>
        <v>0.13200002095825417</v>
      </c>
      <c r="D10" s="337" t="s">
        <v>2017</v>
      </c>
      <c r="E10" s="323" t="s">
        <v>1941</v>
      </c>
    </row>
    <row r="11" spans="1:20" s="297" customFormat="1" ht="15" customHeight="1">
      <c r="A11" s="302"/>
      <c r="B11" s="360" t="s">
        <v>1513</v>
      </c>
      <c r="C11" s="438">
        <f>Eriheited!G297</f>
        <v>0.12434064175918126</v>
      </c>
      <c r="D11" s="337" t="s">
        <v>2017</v>
      </c>
      <c r="E11" s="323" t="s">
        <v>1941</v>
      </c>
    </row>
    <row r="12" spans="1:20" s="297" customFormat="1" ht="15" customHeight="1">
      <c r="A12" s="302"/>
      <c r="B12" s="360" t="s">
        <v>1428</v>
      </c>
      <c r="C12" s="438">
        <f>Eriheited!G298</f>
        <v>5.6596126686138094E-2</v>
      </c>
      <c r="D12" s="337" t="s">
        <v>2017</v>
      </c>
      <c r="E12" s="323" t="s">
        <v>1941</v>
      </c>
    </row>
    <row r="13" spans="1:20" s="297" customFormat="1" ht="15" customHeight="1">
      <c r="A13" s="302"/>
      <c r="B13" s="360" t="s">
        <v>1727</v>
      </c>
      <c r="C13" s="438">
        <f>Eriheited!G299</f>
        <v>7.8774591971879945E-4</v>
      </c>
      <c r="D13" s="337" t="s">
        <v>2017</v>
      </c>
      <c r="E13" s="332" t="s">
        <v>336</v>
      </c>
    </row>
    <row r="14" spans="1:20" s="297" customFormat="1" ht="15" customHeight="1">
      <c r="A14" s="302"/>
      <c r="B14" s="360" t="s">
        <v>1728</v>
      </c>
      <c r="C14" s="438">
        <f>Eriheited!G300</f>
        <v>0.15655277608768631</v>
      </c>
      <c r="D14" s="337" t="s">
        <v>2017</v>
      </c>
      <c r="E14" s="323" t="s">
        <v>1941</v>
      </c>
    </row>
    <row r="15" spans="1:20" s="297" customFormat="1" ht="15" customHeight="1">
      <c r="A15" s="302"/>
      <c r="B15" s="383" t="s">
        <v>2239</v>
      </c>
      <c r="C15" s="348">
        <f>Eriheited!G301</f>
        <v>0.14432171666978094</v>
      </c>
      <c r="D15" s="332" t="s">
        <v>2017</v>
      </c>
      <c r="E15" s="332" t="s">
        <v>2215</v>
      </c>
    </row>
    <row r="16" spans="1:20" s="297" customFormat="1" ht="15" customHeight="1">
      <c r="A16" s="302"/>
      <c r="B16" s="383" t="s">
        <v>2241</v>
      </c>
      <c r="C16" s="348">
        <f>Eriheited!G303</f>
        <v>0.12964175001153405</v>
      </c>
      <c r="D16" s="332" t="s">
        <v>2017</v>
      </c>
      <c r="E16" s="332" t="s">
        <v>2219</v>
      </c>
    </row>
    <row r="17" spans="1:6" s="297" customFormat="1" ht="15" customHeight="1">
      <c r="A17" s="302"/>
      <c r="B17" s="383" t="s">
        <v>2240</v>
      </c>
      <c r="C17" s="348">
        <f>Eriheited!G302</f>
        <v>0.17615071666978094</v>
      </c>
      <c r="D17" s="332" t="s">
        <v>2017</v>
      </c>
      <c r="E17" s="332" t="s">
        <v>2215</v>
      </c>
    </row>
    <row r="18" spans="1:6" s="297" customFormat="1" ht="15" customHeight="1">
      <c r="A18" s="302"/>
      <c r="B18" s="383" t="s">
        <v>2242</v>
      </c>
      <c r="C18" s="348">
        <f>Eriheited!G304</f>
        <v>0.16147075001153405</v>
      </c>
      <c r="D18" s="332" t="s">
        <v>2017</v>
      </c>
      <c r="E18" s="332" t="s">
        <v>2219</v>
      </c>
    </row>
    <row r="19" spans="1:6" s="297" customFormat="1" ht="15" customHeight="1">
      <c r="B19" s="360" t="s">
        <v>1510</v>
      </c>
      <c r="C19" s="438">
        <f>Eriheited!G305</f>
        <v>0</v>
      </c>
      <c r="D19" s="337" t="s">
        <v>2017</v>
      </c>
      <c r="E19" s="323" t="s">
        <v>146</v>
      </c>
    </row>
    <row r="20" spans="1:6" s="297" customFormat="1" ht="15" customHeight="1">
      <c r="B20" s="338" t="s">
        <v>1874</v>
      </c>
      <c r="C20" s="438">
        <f>Eriheited!G306</f>
        <v>0.12731600000000001</v>
      </c>
      <c r="D20" s="332" t="s">
        <v>2017</v>
      </c>
      <c r="E20" s="332" t="s">
        <v>2220</v>
      </c>
      <c r="F20" s="452"/>
    </row>
    <row r="21" spans="1:6" s="297" customFormat="1" ht="15" customHeight="1">
      <c r="A21" s="302"/>
      <c r="B21" s="360" t="s">
        <v>1729</v>
      </c>
      <c r="C21" s="438">
        <f>Eriheited!G307</f>
        <v>0.16231598784654178</v>
      </c>
      <c r="D21" s="337" t="s">
        <v>2017</v>
      </c>
      <c r="E21" s="323" t="s">
        <v>1941</v>
      </c>
    </row>
    <row r="22" spans="1:6" s="297" customFormat="1" ht="15" customHeight="1">
      <c r="B22" s="426" t="s">
        <v>1465</v>
      </c>
      <c r="C22" s="438">
        <f>Eriheited!G308</f>
        <v>0.19120832501511228</v>
      </c>
      <c r="D22" s="337" t="s">
        <v>2017</v>
      </c>
      <c r="E22" s="323" t="s">
        <v>1941</v>
      </c>
    </row>
    <row r="23" spans="1:6" s="297" customFormat="1" ht="15" customHeight="1">
      <c r="B23" s="426" t="s">
        <v>1466</v>
      </c>
      <c r="C23" s="438">
        <f>Eriheited!G309</f>
        <v>8.093991289471315E-3</v>
      </c>
      <c r="D23" s="337" t="s">
        <v>2017</v>
      </c>
      <c r="E23" s="323" t="s">
        <v>367</v>
      </c>
    </row>
    <row r="24" spans="1:6" s="297" customFormat="1" ht="15" customHeight="1">
      <c r="B24" s="426" t="s">
        <v>1467</v>
      </c>
      <c r="C24" s="438">
        <f>Eriheited!G310</f>
        <v>1.9951640983688428E-3</v>
      </c>
      <c r="D24" s="337" t="s">
        <v>2017</v>
      </c>
      <c r="E24" s="323" t="s">
        <v>366</v>
      </c>
    </row>
    <row r="25" spans="1:6" s="297" customFormat="1" ht="15" customHeight="1">
      <c r="B25" s="426" t="s">
        <v>1468</v>
      </c>
      <c r="C25" s="438">
        <f>Eriheited!G311</f>
        <v>0.15060969005304506</v>
      </c>
      <c r="D25" s="337" t="s">
        <v>2017</v>
      </c>
      <c r="E25" s="323" t="s">
        <v>1941</v>
      </c>
    </row>
    <row r="26" spans="1:6" s="297" customFormat="1" ht="15" customHeight="1">
      <c r="B26" s="427" t="s">
        <v>1477</v>
      </c>
      <c r="C26" s="438">
        <f>Eriheited!G312</f>
        <v>0.11987633056454484</v>
      </c>
      <c r="D26" s="337" t="s">
        <v>2017</v>
      </c>
      <c r="E26" s="323" t="s">
        <v>1941</v>
      </c>
    </row>
    <row r="27" spans="1:6" s="297" customFormat="1" ht="15" customHeight="1">
      <c r="A27" s="302"/>
      <c r="B27" s="426" t="s">
        <v>1469</v>
      </c>
      <c r="C27" s="438">
        <f>Eriheited!G313</f>
        <v>0.24403339431076276</v>
      </c>
      <c r="D27" s="337" t="s">
        <v>2017</v>
      </c>
      <c r="E27" s="323" t="s">
        <v>1941</v>
      </c>
    </row>
    <row r="28" spans="1:6" s="297" customFormat="1" ht="15" customHeight="1">
      <c r="A28" s="302"/>
      <c r="B28" s="426" t="s">
        <v>1470</v>
      </c>
      <c r="C28" s="438">
        <f>Eriheited!G314</f>
        <v>1.0833388430693966E-2</v>
      </c>
      <c r="D28" s="337" t="s">
        <v>2017</v>
      </c>
      <c r="E28" s="323" t="s">
        <v>367</v>
      </c>
    </row>
    <row r="29" spans="1:6" s="297" customFormat="1" ht="15" customHeight="1">
      <c r="B29" s="426" t="s">
        <v>1471</v>
      </c>
      <c r="C29" s="438">
        <f>Eriheited!G315</f>
        <v>2.6704238845328423E-3</v>
      </c>
      <c r="D29" s="337" t="s">
        <v>2017</v>
      </c>
      <c r="E29" s="323" t="s">
        <v>366</v>
      </c>
    </row>
    <row r="30" spans="1:6" s="297" customFormat="1" ht="15" customHeight="1">
      <c r="A30" s="302"/>
      <c r="B30" s="426" t="s">
        <v>1472</v>
      </c>
      <c r="C30" s="438">
        <f>Eriheited!G316</f>
        <v>0.20158327522460634</v>
      </c>
      <c r="D30" s="337" t="s">
        <v>2017</v>
      </c>
      <c r="E30" s="323" t="s">
        <v>1941</v>
      </c>
    </row>
    <row r="31" spans="1:6" s="297" customFormat="1" ht="15" customHeight="1">
      <c r="A31" s="302"/>
      <c r="B31" s="427" t="s">
        <v>1478</v>
      </c>
      <c r="C31" s="438">
        <f>Eriheited!G317</f>
        <v>0.12644023246913397</v>
      </c>
      <c r="D31" s="337" t="s">
        <v>2017</v>
      </c>
      <c r="E31" s="323" t="s">
        <v>1941</v>
      </c>
    </row>
    <row r="32" spans="1:6" s="297" customFormat="1" ht="15" customHeight="1">
      <c r="A32" s="302"/>
      <c r="B32" s="360" t="s">
        <v>1726</v>
      </c>
      <c r="C32" s="438">
        <f>Eriheited!G318</f>
        <v>0.17857103229051885</v>
      </c>
      <c r="D32" s="337" t="s">
        <v>2017</v>
      </c>
      <c r="E32" s="323" t="s">
        <v>337</v>
      </c>
    </row>
    <row r="33" spans="1:20" s="297" customFormat="1" ht="15" customHeight="1">
      <c r="A33" s="302"/>
      <c r="B33" s="426" t="s">
        <v>1721</v>
      </c>
      <c r="C33" s="438">
        <f>Eriheited!G320</f>
        <v>0.18053987907914804</v>
      </c>
      <c r="D33" s="337" t="s">
        <v>2017</v>
      </c>
      <c r="E33" s="323" t="s">
        <v>333</v>
      </c>
    </row>
    <row r="34" spans="1:20" s="297" customFormat="1" ht="15" customHeight="1">
      <c r="B34" s="426" t="s">
        <v>1720</v>
      </c>
      <c r="C34" s="438">
        <f>Eriheited!G319</f>
        <v>0.1924289555597079</v>
      </c>
      <c r="D34" s="337" t="s">
        <v>2017</v>
      </c>
      <c r="E34" s="323" t="s">
        <v>331</v>
      </c>
    </row>
    <row r="35" spans="1:20" s="297" customFormat="1" ht="15" customHeight="1">
      <c r="A35" s="302"/>
      <c r="B35" s="426" t="s">
        <v>1722</v>
      </c>
      <c r="C35" s="438">
        <f>Eriheited!G321</f>
        <v>9.2895235357530401E-3</v>
      </c>
      <c r="D35" s="337" t="s">
        <v>2017</v>
      </c>
      <c r="E35" s="323" t="s">
        <v>367</v>
      </c>
    </row>
    <row r="36" spans="1:20" s="297" customFormat="1" ht="15" customHeight="1">
      <c r="A36" s="302"/>
      <c r="B36" s="426" t="s">
        <v>1723</v>
      </c>
      <c r="C36" s="438">
        <f>Eriheited!G322</f>
        <v>2.2898620948105164E-3</v>
      </c>
      <c r="D36" s="337" t="s">
        <v>2017</v>
      </c>
      <c r="E36" s="323" t="s">
        <v>366</v>
      </c>
    </row>
    <row r="37" spans="1:20" s="297" customFormat="1" ht="15" customHeight="1">
      <c r="B37" s="426" t="s">
        <v>1724</v>
      </c>
      <c r="C37" s="438">
        <f>Eriheited!G323</f>
        <v>0.17285566668204541</v>
      </c>
      <c r="D37" s="337" t="s">
        <v>2017</v>
      </c>
      <c r="E37" s="323" t="s">
        <v>332</v>
      </c>
    </row>
    <row r="38" spans="1:20" s="297" customFormat="1" ht="15" customHeight="1">
      <c r="A38" s="302"/>
      <c r="B38" s="427" t="s">
        <v>1725</v>
      </c>
      <c r="C38" s="438">
        <f>Eriheited!G324</f>
        <v>0.12247907183070279</v>
      </c>
      <c r="D38" s="337" t="s">
        <v>2017</v>
      </c>
      <c r="E38" s="427" t="s">
        <v>334</v>
      </c>
    </row>
    <row r="39" spans="1:20" s="297" customFormat="1" ht="15" customHeight="1">
      <c r="A39" s="302"/>
      <c r="B39" s="426" t="s">
        <v>1473</v>
      </c>
      <c r="C39" s="438">
        <f>Eriheited!G325</f>
        <v>0.16174245288907316</v>
      </c>
      <c r="D39" s="337" t="s">
        <v>2017</v>
      </c>
      <c r="E39" s="323" t="s">
        <v>1941</v>
      </c>
    </row>
    <row r="40" spans="1:20" s="297" customFormat="1" ht="15" customHeight="1">
      <c r="A40" s="302"/>
      <c r="B40" s="426" t="s">
        <v>1474</v>
      </c>
      <c r="C40" s="438">
        <f>Eriheited!G326</f>
        <v>8.0830600737259416E-3</v>
      </c>
      <c r="D40" s="337" t="s">
        <v>2017</v>
      </c>
      <c r="E40" s="323" t="s">
        <v>367</v>
      </c>
    </row>
    <row r="41" spans="1:20" s="297" customFormat="1" ht="15" customHeight="1">
      <c r="A41" s="302"/>
      <c r="B41" s="426" t="s">
        <v>1475</v>
      </c>
      <c r="C41" s="438">
        <f>Eriheited!G327</f>
        <v>1.9924695601087061E-3</v>
      </c>
      <c r="D41" s="337" t="s">
        <v>2017</v>
      </c>
      <c r="E41" s="323" t="s">
        <v>366</v>
      </c>
    </row>
    <row r="42" spans="1:20" s="297" customFormat="1" ht="15" customHeight="1">
      <c r="A42" s="302"/>
      <c r="B42" s="428" t="s">
        <v>1476</v>
      </c>
      <c r="C42" s="438">
        <f>Eriheited!G328</f>
        <v>0.15040628644703238</v>
      </c>
      <c r="D42" s="337" t="s">
        <v>2017</v>
      </c>
      <c r="E42" s="453" t="s">
        <v>1941</v>
      </c>
    </row>
    <row r="43" spans="1:20" s="395" customFormat="1" ht="15" customHeight="1">
      <c r="A43" s="297"/>
      <c r="B43" s="429" t="s">
        <v>1479</v>
      </c>
      <c r="C43" s="438">
        <f>Eriheited!G329</f>
        <v>0.1199122049405849</v>
      </c>
      <c r="D43" s="337" t="s">
        <v>2017</v>
      </c>
      <c r="E43" s="453" t="s">
        <v>1941</v>
      </c>
    </row>
    <row r="44" spans="1:20" s="297" customFormat="1" ht="15" customHeight="1">
      <c r="A44" s="302"/>
      <c r="B44" s="430" t="s">
        <v>1480</v>
      </c>
      <c r="C44" s="438">
        <f>Eriheited!G330</f>
        <v>0.18053987907914804</v>
      </c>
      <c r="D44" s="337" t="s">
        <v>2017</v>
      </c>
      <c r="E44" s="323" t="s">
        <v>333</v>
      </c>
    </row>
    <row r="45" spans="1:20" s="395" customFormat="1" ht="15" customHeight="1">
      <c r="A45" s="302"/>
      <c r="B45" s="441"/>
      <c r="C45" s="396"/>
      <c r="D45" s="442"/>
      <c r="E45" s="396"/>
    </row>
    <row r="46" spans="1:20" ht="15" customHeight="1">
      <c r="F46" s="443"/>
      <c r="G46" s="443"/>
      <c r="H46" s="443"/>
      <c r="I46" s="443"/>
      <c r="J46" s="443"/>
      <c r="K46" s="443"/>
      <c r="L46" s="443"/>
      <c r="M46" s="443"/>
      <c r="N46" s="443"/>
      <c r="O46" s="443"/>
      <c r="P46" s="443"/>
      <c r="Q46" s="443"/>
      <c r="R46" s="443"/>
      <c r="S46" s="443"/>
      <c r="T46" s="443"/>
    </row>
    <row r="47" spans="1:20" s="395" customFormat="1" ht="15" customHeight="1">
      <c r="A47" s="297"/>
      <c r="B47" s="405" t="s">
        <v>1502</v>
      </c>
      <c r="C47" s="405" t="s">
        <v>126</v>
      </c>
      <c r="D47" s="405" t="s">
        <v>81</v>
      </c>
      <c r="E47" s="405" t="s">
        <v>142</v>
      </c>
    </row>
    <row r="48" spans="1:20" s="395" customFormat="1" ht="15" customHeight="1">
      <c r="A48" s="302"/>
      <c r="B48" s="332" t="s">
        <v>1505</v>
      </c>
      <c r="C48" s="346">
        <f>(0.43*('HT-Sõidukikütused (M1)'!$C$31+'HT-Sõidukikütused (M1)'!$C$29)/2)*31958100/264215433.78</f>
        <v>0.13962124099556508</v>
      </c>
      <c r="D48" s="332" t="s">
        <v>2019</v>
      </c>
      <c r="E48" s="332" t="s">
        <v>369</v>
      </c>
    </row>
    <row r="49" spans="1:20" s="395" customFormat="1" ht="15" customHeight="1">
      <c r="A49" s="297"/>
      <c r="B49" s="332" t="s">
        <v>1503</v>
      </c>
      <c r="C49" s="346">
        <f>(0.25*'HT-Sõidukikütused (M1)'!$C$31)*49946300/310544600</f>
        <v>0.10637694721086439</v>
      </c>
      <c r="D49" s="332" t="s">
        <v>2019</v>
      </c>
      <c r="E49" s="332" t="s">
        <v>1849</v>
      </c>
    </row>
    <row r="50" spans="1:20" s="395" customFormat="1" ht="15" customHeight="1">
      <c r="A50" s="302"/>
      <c r="B50" s="332" t="s">
        <v>2243</v>
      </c>
      <c r="C50" s="346">
        <f>(0.81*('HT-Sõidukikütused (M1)'!$C$13+'HT-Energia (M1, M2)'!$C$57)/2)*5781443/290361000</f>
        <v>2.3525644994077052E-2</v>
      </c>
      <c r="D50" s="332" t="s">
        <v>2019</v>
      </c>
      <c r="E50" s="332" t="s">
        <v>372</v>
      </c>
    </row>
    <row r="51" spans="1:20" s="395" customFormat="1" ht="15" customHeight="1">
      <c r="A51" s="302"/>
      <c r="B51" s="332" t="s">
        <v>1506</v>
      </c>
      <c r="C51" s="398">
        <f>(1.62*'HT-Sõidukikütused (M1)'!$C$13)*3815188/218374000</f>
        <v>8.2569295647856603E-2</v>
      </c>
      <c r="D51" s="332" t="s">
        <v>2019</v>
      </c>
      <c r="E51" s="332" t="s">
        <v>1851</v>
      </c>
    </row>
    <row r="52" spans="1:20" s="395" customFormat="1" ht="15" customHeight="1">
      <c r="A52" s="297"/>
      <c r="B52" s="332" t="s">
        <v>1504</v>
      </c>
      <c r="C52" s="439">
        <v>0</v>
      </c>
      <c r="D52" s="332" t="s">
        <v>2019</v>
      </c>
      <c r="E52" s="323" t="s">
        <v>146</v>
      </c>
    </row>
    <row r="53" spans="1:20" s="395" customFormat="1" ht="15" customHeight="1">
      <c r="A53" s="302"/>
      <c r="B53" s="444" t="s">
        <v>1480</v>
      </c>
      <c r="C53" s="438">
        <v>0.127629410548775</v>
      </c>
      <c r="D53" s="332" t="s">
        <v>2019</v>
      </c>
      <c r="E53" s="430" t="s">
        <v>1850</v>
      </c>
    </row>
    <row r="54" spans="1:20" s="395" customFormat="1" ht="15" customHeight="1">
      <c r="A54" s="297"/>
      <c r="B54" s="332" t="s">
        <v>373</v>
      </c>
      <c r="C54" s="439">
        <v>0</v>
      </c>
      <c r="D54" s="332" t="s">
        <v>2019</v>
      </c>
      <c r="E54" s="323" t="s">
        <v>146</v>
      </c>
    </row>
    <row r="55" spans="1:20" s="395" customFormat="1" ht="15" customHeight="1">
      <c r="A55" s="297"/>
      <c r="B55" s="332" t="s">
        <v>374</v>
      </c>
      <c r="C55" s="439">
        <v>0</v>
      </c>
      <c r="D55" s="332" t="s">
        <v>2019</v>
      </c>
      <c r="E55" s="323" t="s">
        <v>146</v>
      </c>
    </row>
    <row r="56" spans="1:20" ht="15" customHeight="1">
      <c r="F56" s="443"/>
      <c r="G56" s="443"/>
      <c r="H56" s="443"/>
      <c r="I56" s="443"/>
      <c r="J56" s="443"/>
      <c r="K56" s="443"/>
      <c r="L56" s="443"/>
      <c r="M56" s="443"/>
      <c r="N56" s="443"/>
      <c r="O56" s="443"/>
      <c r="P56" s="443"/>
      <c r="Q56" s="443"/>
      <c r="R56" s="443"/>
      <c r="S56" s="443"/>
      <c r="T56" s="443"/>
    </row>
    <row r="57" spans="1:20" ht="15" customHeight="1">
      <c r="F57" s="443"/>
      <c r="G57" s="443"/>
      <c r="H57" s="443"/>
      <c r="I57" s="443"/>
      <c r="J57" s="443"/>
      <c r="K57" s="443"/>
      <c r="L57" s="443"/>
      <c r="M57" s="443"/>
      <c r="N57" s="443"/>
      <c r="O57" s="443"/>
      <c r="P57" s="443"/>
      <c r="Q57" s="443"/>
      <c r="R57" s="443"/>
      <c r="S57" s="443"/>
      <c r="T57" s="443"/>
    </row>
    <row r="58" spans="1:20" ht="15" customHeight="1">
      <c r="F58" s="443"/>
      <c r="G58" s="443"/>
      <c r="H58" s="443"/>
      <c r="I58" s="443"/>
      <c r="J58" s="443"/>
      <c r="K58" s="443"/>
      <c r="L58" s="443"/>
      <c r="M58" s="443"/>
      <c r="N58" s="443"/>
      <c r="O58" s="443"/>
      <c r="P58" s="443"/>
      <c r="Q58" s="443"/>
      <c r="R58" s="443"/>
      <c r="S58" s="443"/>
      <c r="T58" s="443"/>
    </row>
    <row r="59" spans="1:20" ht="15" customHeight="1">
      <c r="F59" s="443"/>
      <c r="G59" s="443"/>
      <c r="H59" s="443"/>
      <c r="I59" s="443"/>
      <c r="J59" s="443"/>
      <c r="K59" s="443"/>
      <c r="L59" s="443"/>
      <c r="M59" s="443"/>
      <c r="N59" s="443"/>
      <c r="O59" s="443"/>
      <c r="P59" s="443"/>
      <c r="Q59" s="443"/>
      <c r="R59" s="443"/>
      <c r="S59" s="443"/>
      <c r="T59" s="443"/>
    </row>
    <row r="60" spans="1:20" ht="15" customHeight="1">
      <c r="F60" s="443"/>
      <c r="G60" s="443"/>
      <c r="H60" s="443"/>
      <c r="I60" s="443"/>
      <c r="J60" s="443"/>
      <c r="K60" s="443"/>
      <c r="L60" s="443"/>
      <c r="M60" s="443"/>
      <c r="N60" s="443"/>
      <c r="O60" s="443"/>
      <c r="P60" s="443"/>
      <c r="Q60" s="443"/>
      <c r="R60" s="443"/>
      <c r="S60" s="443"/>
      <c r="T60" s="443"/>
    </row>
    <row r="61" spans="1:20" ht="15" customHeight="1">
      <c r="F61" s="443"/>
      <c r="G61" s="443"/>
      <c r="H61" s="443"/>
      <c r="I61" s="443"/>
      <c r="J61" s="443"/>
      <c r="K61" s="443"/>
      <c r="L61" s="443"/>
      <c r="M61" s="443"/>
      <c r="N61" s="443"/>
      <c r="O61" s="443"/>
      <c r="P61" s="443"/>
      <c r="Q61" s="443"/>
      <c r="R61" s="443"/>
      <c r="S61" s="443"/>
      <c r="T61" s="443"/>
    </row>
    <row r="62" spans="1:20" ht="15" customHeight="1">
      <c r="F62" s="443"/>
      <c r="G62" s="443"/>
      <c r="H62" s="443"/>
      <c r="I62" s="443"/>
      <c r="J62" s="443"/>
      <c r="K62" s="443"/>
      <c r="L62" s="443"/>
      <c r="M62" s="443"/>
      <c r="N62" s="443"/>
      <c r="O62" s="443"/>
      <c r="P62" s="443"/>
      <c r="Q62" s="443"/>
      <c r="R62" s="443"/>
      <c r="S62" s="443"/>
      <c r="T62" s="443"/>
    </row>
    <row r="63" spans="1:20" ht="15" customHeight="1">
      <c r="F63" s="443"/>
      <c r="G63" s="443"/>
      <c r="H63" s="443"/>
      <c r="I63" s="443"/>
      <c r="J63" s="443"/>
      <c r="K63" s="443"/>
      <c r="L63" s="443"/>
      <c r="M63" s="443"/>
      <c r="N63" s="443"/>
      <c r="O63" s="443"/>
      <c r="P63" s="443"/>
      <c r="Q63" s="443"/>
      <c r="R63" s="443"/>
      <c r="S63" s="443"/>
      <c r="T63" s="443"/>
    </row>
    <row r="64" spans="1:20" ht="15" customHeight="1">
      <c r="F64" s="443"/>
      <c r="G64" s="443"/>
      <c r="H64" s="443"/>
      <c r="I64" s="443"/>
      <c r="J64" s="443"/>
      <c r="K64" s="443"/>
      <c r="L64" s="443"/>
      <c r="M64" s="443"/>
      <c r="N64" s="443"/>
      <c r="O64" s="443"/>
      <c r="P64" s="443"/>
      <c r="Q64" s="443"/>
      <c r="R64" s="443"/>
      <c r="S64" s="443"/>
      <c r="T64" s="443"/>
    </row>
    <row r="65" spans="6:20" ht="15" customHeight="1">
      <c r="F65" s="443"/>
      <c r="G65" s="443"/>
      <c r="H65" s="443"/>
      <c r="I65" s="443"/>
      <c r="J65" s="443"/>
      <c r="K65" s="443"/>
      <c r="L65" s="443"/>
      <c r="M65" s="443"/>
      <c r="N65" s="443"/>
      <c r="O65" s="443"/>
      <c r="P65" s="443"/>
      <c r="Q65" s="443"/>
      <c r="R65" s="443"/>
      <c r="S65" s="443"/>
      <c r="T65" s="443"/>
    </row>
    <row r="66" spans="6:20" ht="15" customHeight="1">
      <c r="F66" s="443"/>
      <c r="G66" s="443"/>
      <c r="H66" s="443"/>
      <c r="I66" s="443"/>
      <c r="J66" s="443"/>
      <c r="K66" s="443"/>
      <c r="L66" s="443"/>
      <c r="M66" s="443"/>
      <c r="N66" s="443"/>
      <c r="O66" s="443"/>
      <c r="P66" s="443"/>
      <c r="Q66" s="443"/>
      <c r="R66" s="443"/>
      <c r="S66" s="443"/>
      <c r="T66" s="443"/>
    </row>
    <row r="67" spans="6:20" ht="15" customHeight="1">
      <c r="F67" s="443"/>
      <c r="G67" s="443"/>
      <c r="H67" s="443"/>
      <c r="I67" s="443"/>
      <c r="J67" s="443"/>
      <c r="K67" s="443"/>
      <c r="L67" s="443"/>
      <c r="M67" s="443"/>
      <c r="N67" s="443"/>
      <c r="O67" s="443"/>
      <c r="P67" s="443"/>
      <c r="Q67" s="443"/>
      <c r="R67" s="443"/>
      <c r="S67" s="443"/>
      <c r="T67" s="443"/>
    </row>
    <row r="68" spans="6:20" ht="15" customHeight="1">
      <c r="F68" s="443"/>
      <c r="G68" s="443"/>
      <c r="H68" s="443"/>
      <c r="I68" s="443"/>
      <c r="J68" s="443"/>
      <c r="K68" s="443"/>
      <c r="L68" s="443"/>
      <c r="M68" s="443"/>
      <c r="N68" s="443"/>
      <c r="O68" s="443"/>
      <c r="P68" s="443"/>
      <c r="Q68" s="443"/>
      <c r="R68" s="443"/>
      <c r="S68" s="443"/>
      <c r="T68" s="443"/>
    </row>
    <row r="69" spans="6:20" ht="15" customHeight="1">
      <c r="F69" s="443"/>
      <c r="G69" s="443"/>
      <c r="H69" s="443"/>
      <c r="I69" s="443"/>
      <c r="J69" s="443"/>
      <c r="K69" s="443"/>
      <c r="L69" s="443"/>
      <c r="M69" s="443"/>
      <c r="N69" s="443"/>
      <c r="O69" s="443"/>
      <c r="P69" s="443"/>
      <c r="Q69" s="443"/>
      <c r="R69" s="443"/>
      <c r="S69" s="443"/>
      <c r="T69" s="443"/>
    </row>
    <row r="70" spans="6:20" ht="15" customHeight="1">
      <c r="F70" s="443"/>
      <c r="G70" s="443"/>
      <c r="H70" s="443"/>
      <c r="I70" s="443"/>
      <c r="J70" s="443"/>
      <c r="K70" s="443"/>
      <c r="L70" s="443"/>
      <c r="M70" s="443"/>
      <c r="N70" s="443"/>
      <c r="O70" s="443"/>
      <c r="P70" s="443"/>
      <c r="Q70" s="443"/>
      <c r="R70" s="443"/>
      <c r="S70" s="443"/>
      <c r="T70" s="443"/>
    </row>
    <row r="71" spans="6:20" ht="15" customHeight="1">
      <c r="F71" s="443"/>
      <c r="G71" s="443"/>
      <c r="H71" s="443"/>
      <c r="I71" s="443"/>
      <c r="J71" s="443"/>
      <c r="K71" s="443"/>
      <c r="L71" s="443"/>
      <c r="M71" s="443"/>
      <c r="N71" s="443"/>
      <c r="O71" s="443"/>
      <c r="P71" s="443"/>
      <c r="Q71" s="443"/>
      <c r="R71" s="443"/>
      <c r="S71" s="443"/>
      <c r="T71" s="443"/>
    </row>
    <row r="72" spans="6:20" ht="15" customHeight="1">
      <c r="F72" s="443"/>
      <c r="G72" s="443"/>
      <c r="H72" s="443"/>
      <c r="I72" s="443"/>
      <c r="J72" s="443"/>
      <c r="K72" s="443"/>
      <c r="L72" s="443"/>
      <c r="M72" s="443"/>
      <c r="N72" s="443"/>
      <c r="O72" s="443"/>
      <c r="P72" s="443"/>
      <c r="Q72" s="443"/>
      <c r="R72" s="443"/>
      <c r="S72" s="443"/>
      <c r="T72" s="443"/>
    </row>
    <row r="73" spans="6:20" ht="15" customHeight="1">
      <c r="F73" s="443"/>
      <c r="G73" s="443"/>
      <c r="H73" s="443"/>
      <c r="I73" s="443"/>
      <c r="J73" s="443"/>
      <c r="K73" s="443"/>
      <c r="L73" s="443"/>
      <c r="M73" s="443"/>
      <c r="N73" s="443"/>
      <c r="O73" s="443"/>
      <c r="P73" s="443"/>
      <c r="Q73" s="443"/>
      <c r="R73" s="443"/>
      <c r="S73" s="443"/>
      <c r="T73" s="443"/>
    </row>
    <row r="74" spans="6:20" ht="15" customHeight="1">
      <c r="F74" s="443"/>
      <c r="G74" s="443"/>
      <c r="H74" s="443"/>
      <c r="I74" s="443"/>
      <c r="J74" s="443"/>
      <c r="K74" s="443"/>
      <c r="L74" s="443"/>
      <c r="M74" s="443"/>
      <c r="N74" s="443"/>
      <c r="O74" s="443"/>
      <c r="P74" s="443"/>
      <c r="Q74" s="443"/>
      <c r="R74" s="443"/>
      <c r="S74" s="443"/>
      <c r="T74" s="443"/>
    </row>
    <row r="75" spans="6:20" ht="15" customHeight="1">
      <c r="F75" s="443"/>
      <c r="G75" s="443"/>
      <c r="H75" s="443"/>
      <c r="I75" s="443"/>
      <c r="J75" s="443"/>
      <c r="K75" s="443"/>
      <c r="L75" s="443"/>
      <c r="M75" s="443"/>
      <c r="N75" s="443"/>
      <c r="O75" s="443"/>
      <c r="P75" s="443"/>
      <c r="Q75" s="443"/>
      <c r="R75" s="443"/>
      <c r="S75" s="443"/>
      <c r="T75" s="443"/>
    </row>
    <row r="76" spans="6:20" ht="15" customHeight="1">
      <c r="F76" s="443"/>
      <c r="G76" s="443"/>
      <c r="H76" s="443"/>
      <c r="I76" s="443"/>
      <c r="J76" s="443"/>
      <c r="K76" s="443"/>
      <c r="L76" s="443"/>
      <c r="M76" s="443"/>
      <c r="N76" s="443"/>
      <c r="O76" s="443"/>
      <c r="P76" s="443"/>
      <c r="Q76" s="443"/>
      <c r="R76" s="443"/>
      <c r="S76" s="443"/>
      <c r="T76" s="443"/>
    </row>
    <row r="77" spans="6:20" ht="15" customHeight="1">
      <c r="F77" s="443"/>
      <c r="G77" s="443"/>
      <c r="H77" s="443"/>
      <c r="I77" s="443"/>
      <c r="J77" s="443"/>
      <c r="K77" s="443"/>
      <c r="L77" s="443"/>
      <c r="M77" s="443"/>
      <c r="N77" s="443"/>
      <c r="O77" s="443"/>
      <c r="P77" s="443"/>
      <c r="Q77" s="443"/>
      <c r="R77" s="443"/>
      <c r="S77" s="443"/>
      <c r="T77" s="443"/>
    </row>
    <row r="78" spans="6:20" ht="15" customHeight="1">
      <c r="F78" s="443"/>
      <c r="G78" s="443"/>
      <c r="H78" s="443"/>
      <c r="I78" s="443"/>
      <c r="J78" s="443"/>
      <c r="K78" s="443"/>
      <c r="L78" s="443"/>
      <c r="M78" s="443"/>
      <c r="N78" s="443"/>
      <c r="O78" s="443"/>
      <c r="P78" s="443"/>
      <c r="Q78" s="443"/>
      <c r="R78" s="443"/>
      <c r="S78" s="443"/>
      <c r="T78" s="443"/>
    </row>
    <row r="79" spans="6:20" ht="15" customHeight="1">
      <c r="F79" s="443"/>
      <c r="G79" s="443"/>
      <c r="H79" s="443"/>
      <c r="I79" s="443"/>
      <c r="J79" s="443"/>
      <c r="K79" s="443"/>
      <c r="L79" s="443"/>
      <c r="M79" s="443"/>
      <c r="N79" s="443"/>
      <c r="O79" s="443"/>
      <c r="P79" s="443"/>
      <c r="Q79" s="443"/>
      <c r="R79" s="443"/>
      <c r="S79" s="443"/>
      <c r="T79" s="443"/>
    </row>
    <row r="80" spans="6:20" ht="15" customHeight="1">
      <c r="F80" s="443"/>
      <c r="G80" s="443"/>
      <c r="H80" s="443"/>
      <c r="I80" s="443"/>
      <c r="J80" s="443"/>
      <c r="K80" s="443"/>
      <c r="L80" s="443"/>
      <c r="M80" s="443"/>
      <c r="N80" s="443"/>
      <c r="O80" s="443"/>
      <c r="P80" s="443"/>
      <c r="Q80" s="443"/>
      <c r="R80" s="443"/>
      <c r="S80" s="443"/>
      <c r="T80" s="443"/>
    </row>
    <row r="81" spans="6:20" ht="15" customHeight="1">
      <c r="F81" s="443"/>
      <c r="G81" s="443"/>
      <c r="H81" s="443"/>
      <c r="I81" s="443"/>
      <c r="J81" s="443"/>
      <c r="K81" s="443"/>
      <c r="L81" s="443"/>
      <c r="M81" s="443"/>
      <c r="N81" s="443"/>
      <c r="O81" s="443"/>
      <c r="P81" s="443"/>
      <c r="Q81" s="443"/>
      <c r="R81" s="443"/>
      <c r="S81" s="443"/>
      <c r="T81" s="443"/>
    </row>
    <row r="82" spans="6:20" ht="15" customHeight="1">
      <c r="F82" s="443"/>
      <c r="G82" s="443"/>
      <c r="H82" s="443"/>
      <c r="I82" s="443"/>
      <c r="J82" s="443"/>
      <c r="K82" s="443"/>
      <c r="L82" s="443"/>
      <c r="M82" s="443"/>
      <c r="N82" s="443"/>
      <c r="O82" s="443"/>
      <c r="P82" s="443"/>
      <c r="Q82" s="443"/>
      <c r="R82" s="443"/>
      <c r="S82" s="443"/>
      <c r="T82" s="443"/>
    </row>
    <row r="83" spans="6:20" ht="15" customHeight="1">
      <c r="F83" s="443"/>
      <c r="G83" s="443"/>
      <c r="H83" s="443"/>
      <c r="I83" s="443"/>
      <c r="J83" s="443"/>
      <c r="K83" s="443"/>
      <c r="L83" s="443"/>
      <c r="M83" s="443"/>
      <c r="N83" s="443"/>
      <c r="O83" s="443"/>
      <c r="P83" s="443"/>
      <c r="Q83" s="443"/>
      <c r="R83" s="443"/>
      <c r="S83" s="443"/>
      <c r="T83" s="443"/>
    </row>
    <row r="84" spans="6:20" ht="15" customHeight="1">
      <c r="F84" s="443"/>
      <c r="G84" s="443"/>
      <c r="H84" s="443"/>
      <c r="I84" s="443"/>
      <c r="J84" s="443"/>
      <c r="K84" s="443"/>
      <c r="L84" s="443"/>
      <c r="M84" s="443"/>
      <c r="N84" s="443"/>
      <c r="O84" s="443"/>
      <c r="P84" s="443"/>
      <c r="Q84" s="443"/>
      <c r="R84" s="443"/>
      <c r="S84" s="443"/>
      <c r="T84" s="443"/>
    </row>
    <row r="85" spans="6:20" ht="15" customHeight="1">
      <c r="F85" s="443"/>
      <c r="G85" s="443"/>
      <c r="H85" s="443"/>
      <c r="I85" s="443"/>
      <c r="J85" s="443"/>
      <c r="K85" s="443"/>
      <c r="L85" s="443"/>
      <c r="M85" s="443"/>
      <c r="N85" s="443"/>
      <c r="O85" s="443"/>
      <c r="P85" s="443"/>
      <c r="Q85" s="443"/>
      <c r="R85" s="443"/>
      <c r="S85" s="443"/>
      <c r="T85" s="443"/>
    </row>
    <row r="86" spans="6:20" ht="15" customHeight="1">
      <c r="F86" s="443"/>
      <c r="G86" s="443"/>
      <c r="H86" s="443"/>
      <c r="I86" s="443"/>
      <c r="J86" s="443"/>
      <c r="K86" s="443"/>
      <c r="L86" s="443"/>
      <c r="M86" s="443"/>
      <c r="N86" s="443"/>
      <c r="O86" s="443"/>
      <c r="P86" s="443"/>
      <c r="Q86" s="443"/>
      <c r="R86" s="443"/>
      <c r="S86" s="443"/>
      <c r="T86" s="443"/>
    </row>
    <row r="87" spans="6:20" ht="15" customHeight="1">
      <c r="F87" s="443"/>
      <c r="G87" s="443"/>
      <c r="H87" s="443"/>
      <c r="I87" s="443"/>
      <c r="J87" s="443"/>
      <c r="K87" s="443"/>
      <c r="L87" s="443"/>
      <c r="M87" s="443"/>
      <c r="N87" s="443"/>
      <c r="O87" s="443"/>
      <c r="P87" s="443"/>
      <c r="Q87" s="443"/>
      <c r="R87" s="443"/>
      <c r="S87" s="443"/>
      <c r="T87" s="443"/>
    </row>
    <row r="88" spans="6:20" ht="15" customHeight="1">
      <c r="F88" s="443"/>
      <c r="G88" s="443"/>
      <c r="H88" s="443"/>
      <c r="I88" s="443"/>
      <c r="J88" s="443"/>
      <c r="K88" s="443"/>
      <c r="L88" s="443"/>
      <c r="M88" s="443"/>
      <c r="N88" s="443"/>
      <c r="O88" s="443"/>
      <c r="P88" s="443"/>
      <c r="Q88" s="443"/>
      <c r="R88" s="443"/>
      <c r="S88" s="443"/>
      <c r="T88" s="443"/>
    </row>
    <row r="89" spans="6:20" ht="15" customHeight="1">
      <c r="F89" s="443"/>
      <c r="G89" s="443"/>
      <c r="H89" s="443"/>
      <c r="I89" s="443"/>
      <c r="J89" s="443"/>
      <c r="K89" s="443"/>
      <c r="L89" s="443"/>
      <c r="M89" s="443"/>
      <c r="N89" s="443"/>
      <c r="O89" s="443"/>
      <c r="P89" s="443"/>
      <c r="Q89" s="443"/>
      <c r="R89" s="443"/>
      <c r="S89" s="443"/>
      <c r="T89" s="443"/>
    </row>
    <row r="90" spans="6:20" ht="15" customHeight="1">
      <c r="F90" s="443"/>
      <c r="G90" s="443"/>
      <c r="H90" s="443"/>
      <c r="I90" s="443"/>
      <c r="J90" s="443"/>
      <c r="K90" s="443"/>
      <c r="L90" s="443"/>
      <c r="M90" s="443"/>
      <c r="N90" s="443"/>
      <c r="O90" s="443"/>
      <c r="P90" s="443"/>
      <c r="Q90" s="443"/>
      <c r="R90" s="443"/>
      <c r="S90" s="443"/>
      <c r="T90" s="443"/>
    </row>
    <row r="91" spans="6:20" ht="15" customHeight="1">
      <c r="F91" s="443"/>
      <c r="G91" s="443"/>
      <c r="H91" s="443"/>
      <c r="I91" s="443"/>
      <c r="J91" s="443"/>
      <c r="K91" s="443"/>
      <c r="L91" s="443"/>
      <c r="M91" s="443"/>
      <c r="N91" s="443"/>
      <c r="O91" s="443"/>
      <c r="P91" s="443"/>
      <c r="Q91" s="443"/>
      <c r="R91" s="443"/>
      <c r="S91" s="443"/>
      <c r="T91" s="443"/>
    </row>
    <row r="92" spans="6:20" ht="15" customHeight="1">
      <c r="F92" s="443"/>
      <c r="G92" s="443"/>
      <c r="H92" s="443"/>
      <c r="I92" s="443"/>
      <c r="J92" s="443"/>
      <c r="K92" s="443"/>
      <c r="L92" s="443"/>
      <c r="M92" s="443"/>
      <c r="N92" s="443"/>
      <c r="O92" s="443"/>
      <c r="P92" s="443"/>
      <c r="Q92" s="443"/>
      <c r="R92" s="443"/>
      <c r="S92" s="443"/>
      <c r="T92" s="443"/>
    </row>
    <row r="93" spans="6:20" ht="15" customHeight="1">
      <c r="F93" s="443"/>
      <c r="G93" s="443"/>
      <c r="H93" s="443"/>
      <c r="I93" s="443"/>
      <c r="J93" s="443"/>
      <c r="K93" s="443"/>
      <c r="L93" s="443"/>
      <c r="M93" s="443"/>
      <c r="N93" s="443"/>
      <c r="O93" s="443"/>
      <c r="P93" s="443"/>
      <c r="Q93" s="443"/>
      <c r="R93" s="443"/>
      <c r="S93" s="443"/>
      <c r="T93" s="443"/>
    </row>
    <row r="94" spans="6:20" ht="15" customHeight="1">
      <c r="F94" s="443"/>
      <c r="G94" s="443"/>
      <c r="H94" s="443"/>
      <c r="I94" s="443"/>
      <c r="J94" s="443"/>
      <c r="K94" s="443"/>
      <c r="L94" s="443"/>
      <c r="M94" s="443"/>
      <c r="N94" s="443"/>
      <c r="O94" s="443"/>
      <c r="P94" s="443"/>
      <c r="Q94" s="443"/>
      <c r="R94" s="443"/>
      <c r="S94" s="443"/>
      <c r="T94" s="443"/>
    </row>
    <row r="95" spans="6:20" ht="15" customHeight="1">
      <c r="F95" s="443"/>
      <c r="G95" s="443"/>
      <c r="H95" s="443"/>
      <c r="I95" s="443"/>
      <c r="J95" s="443"/>
      <c r="K95" s="443"/>
      <c r="L95" s="443"/>
      <c r="M95" s="443"/>
      <c r="N95" s="443"/>
      <c r="O95" s="443"/>
      <c r="P95" s="443"/>
      <c r="Q95" s="443"/>
      <c r="R95" s="443"/>
      <c r="S95" s="443"/>
      <c r="T95" s="443"/>
    </row>
    <row r="96" spans="6:20" ht="15" customHeight="1">
      <c r="F96" s="443"/>
      <c r="G96" s="443"/>
      <c r="H96" s="443"/>
      <c r="I96" s="443"/>
      <c r="J96" s="443"/>
      <c r="K96" s="443"/>
      <c r="L96" s="443"/>
      <c r="M96" s="443"/>
      <c r="N96" s="443"/>
      <c r="O96" s="443"/>
      <c r="P96" s="443"/>
      <c r="Q96" s="443"/>
      <c r="R96" s="443"/>
      <c r="S96" s="443"/>
      <c r="T96" s="443"/>
    </row>
    <row r="97" spans="6:20" ht="15" customHeight="1">
      <c r="F97" s="443"/>
      <c r="G97" s="443"/>
      <c r="H97" s="443"/>
      <c r="I97" s="443"/>
      <c r="J97" s="443"/>
      <c r="K97" s="443"/>
      <c r="L97" s="443"/>
      <c r="M97" s="443"/>
      <c r="N97" s="443"/>
      <c r="O97" s="443"/>
      <c r="P97" s="443"/>
      <c r="Q97" s="443"/>
      <c r="R97" s="443"/>
      <c r="S97" s="443"/>
      <c r="T97" s="443"/>
    </row>
    <row r="98" spans="6:20" ht="15" customHeight="1">
      <c r="F98" s="443"/>
      <c r="G98" s="443"/>
      <c r="H98" s="443"/>
      <c r="I98" s="443"/>
      <c r="J98" s="443"/>
      <c r="K98" s="443"/>
      <c r="L98" s="443"/>
      <c r="M98" s="443"/>
      <c r="N98" s="443"/>
      <c r="O98" s="443"/>
      <c r="P98" s="443"/>
      <c r="Q98" s="443"/>
      <c r="R98" s="443"/>
      <c r="S98" s="443"/>
      <c r="T98" s="443"/>
    </row>
    <row r="99" spans="6:20" ht="15" customHeight="1">
      <c r="F99" s="443"/>
      <c r="G99" s="443"/>
      <c r="H99" s="443"/>
      <c r="I99" s="443"/>
      <c r="J99" s="443"/>
      <c r="K99" s="443"/>
      <c r="L99" s="443"/>
      <c r="M99" s="443"/>
      <c r="N99" s="443"/>
      <c r="O99" s="443"/>
      <c r="P99" s="443"/>
      <c r="Q99" s="443"/>
      <c r="R99" s="443"/>
      <c r="S99" s="443"/>
      <c r="T99" s="443"/>
    </row>
    <row r="100" spans="6:20" ht="15" customHeight="1">
      <c r="F100" s="443"/>
      <c r="G100" s="443"/>
      <c r="H100" s="443"/>
      <c r="I100" s="443"/>
      <c r="J100" s="443"/>
      <c r="K100" s="443"/>
      <c r="L100" s="443"/>
      <c r="M100" s="443"/>
      <c r="N100" s="443"/>
      <c r="O100" s="443"/>
      <c r="P100" s="443"/>
      <c r="Q100" s="443"/>
      <c r="R100" s="443"/>
      <c r="S100" s="443"/>
      <c r="T100" s="443"/>
    </row>
    <row r="101" spans="6:20" ht="15" customHeight="1">
      <c r="F101" s="443"/>
      <c r="G101" s="443"/>
      <c r="H101" s="443"/>
      <c r="I101" s="443"/>
      <c r="J101" s="443"/>
      <c r="K101" s="443"/>
      <c r="L101" s="443"/>
      <c r="M101" s="443"/>
      <c r="N101" s="443"/>
      <c r="O101" s="443"/>
      <c r="P101" s="443"/>
      <c r="Q101" s="443"/>
      <c r="R101" s="443"/>
      <c r="S101" s="443"/>
      <c r="T101" s="443"/>
    </row>
    <row r="102" spans="6:20" ht="15" customHeight="1">
      <c r="F102" s="443"/>
      <c r="G102" s="443"/>
      <c r="H102" s="443"/>
      <c r="I102" s="443"/>
      <c r="J102" s="443"/>
      <c r="K102" s="443"/>
      <c r="L102" s="443"/>
      <c r="M102" s="443"/>
      <c r="N102" s="443"/>
      <c r="O102" s="443"/>
      <c r="P102" s="443"/>
      <c r="Q102" s="443"/>
      <c r="R102" s="443"/>
      <c r="S102" s="443"/>
      <c r="T102" s="443"/>
    </row>
    <row r="103" spans="6:20" ht="15" customHeight="1">
      <c r="F103" s="443"/>
      <c r="G103" s="443"/>
      <c r="H103" s="443"/>
      <c r="I103" s="443"/>
      <c r="J103" s="443"/>
      <c r="K103" s="443"/>
      <c r="L103" s="443"/>
      <c r="M103" s="443"/>
      <c r="N103" s="443"/>
      <c r="O103" s="443"/>
      <c r="P103" s="443"/>
      <c r="Q103" s="443"/>
      <c r="R103" s="443"/>
      <c r="S103" s="443"/>
      <c r="T103" s="443"/>
    </row>
    <row r="104" spans="6:20" ht="15" customHeight="1">
      <c r="F104" s="443"/>
      <c r="G104" s="443"/>
      <c r="H104" s="443"/>
      <c r="I104" s="443"/>
      <c r="J104" s="443"/>
      <c r="K104" s="443"/>
      <c r="L104" s="443"/>
      <c r="M104" s="443"/>
      <c r="N104" s="443"/>
      <c r="O104" s="443"/>
      <c r="P104" s="443"/>
      <c r="Q104" s="443"/>
      <c r="R104" s="443"/>
      <c r="S104" s="443"/>
      <c r="T104" s="443"/>
    </row>
    <row r="105" spans="6:20" ht="15" customHeight="1">
      <c r="F105" s="443"/>
      <c r="G105" s="443"/>
      <c r="H105" s="443"/>
      <c r="I105" s="443"/>
      <c r="J105" s="443"/>
      <c r="K105" s="443"/>
      <c r="L105" s="443"/>
      <c r="M105" s="443"/>
      <c r="N105" s="443"/>
      <c r="O105" s="443"/>
      <c r="P105" s="443"/>
      <c r="Q105" s="443"/>
      <c r="R105" s="443"/>
      <c r="S105" s="443"/>
      <c r="T105" s="443"/>
    </row>
    <row r="106" spans="6:20" ht="15" customHeight="1">
      <c r="F106" s="443"/>
      <c r="G106" s="443"/>
      <c r="H106" s="443"/>
      <c r="I106" s="443"/>
      <c r="J106" s="443"/>
      <c r="K106" s="443"/>
      <c r="L106" s="443"/>
      <c r="M106" s="443"/>
      <c r="N106" s="443"/>
      <c r="O106" s="443"/>
      <c r="P106" s="443"/>
      <c r="Q106" s="443"/>
      <c r="R106" s="443"/>
      <c r="S106" s="443"/>
      <c r="T106" s="443"/>
    </row>
    <row r="107" spans="6:20" ht="15" customHeight="1">
      <c r="F107" s="443"/>
      <c r="G107" s="443"/>
      <c r="H107" s="443"/>
      <c r="I107" s="443"/>
      <c r="J107" s="443"/>
      <c r="K107" s="443"/>
      <c r="L107" s="443"/>
      <c r="M107" s="443"/>
      <c r="N107" s="443"/>
      <c r="O107" s="443"/>
      <c r="P107" s="443"/>
      <c r="Q107" s="443"/>
      <c r="R107" s="443"/>
      <c r="S107" s="443"/>
      <c r="T107" s="443"/>
    </row>
    <row r="108" spans="6:20" ht="15" customHeight="1">
      <c r="F108" s="443"/>
      <c r="G108" s="443"/>
      <c r="H108" s="443"/>
      <c r="I108" s="443"/>
      <c r="J108" s="443"/>
      <c r="K108" s="443"/>
      <c r="L108" s="443"/>
      <c r="M108" s="443"/>
      <c r="N108" s="443"/>
      <c r="O108" s="443"/>
      <c r="P108" s="443"/>
      <c r="Q108" s="443"/>
      <c r="R108" s="443"/>
      <c r="S108" s="443"/>
      <c r="T108" s="443"/>
    </row>
    <row r="109" spans="6:20" ht="15" customHeight="1">
      <c r="F109" s="443"/>
      <c r="G109" s="443"/>
      <c r="H109" s="443"/>
      <c r="I109" s="443"/>
      <c r="J109" s="443"/>
      <c r="K109" s="443"/>
      <c r="L109" s="443"/>
      <c r="M109" s="443"/>
      <c r="N109" s="443"/>
      <c r="O109" s="443"/>
      <c r="P109" s="443"/>
      <c r="Q109" s="443"/>
      <c r="R109" s="443"/>
      <c r="S109" s="443"/>
      <c r="T109" s="443"/>
    </row>
    <row r="110" spans="6:20" ht="15" customHeight="1">
      <c r="F110" s="443"/>
      <c r="G110" s="443"/>
      <c r="H110" s="443"/>
      <c r="I110" s="443"/>
      <c r="J110" s="443"/>
      <c r="K110" s="443"/>
      <c r="L110" s="443"/>
      <c r="M110" s="443"/>
      <c r="N110" s="443"/>
      <c r="O110" s="443"/>
      <c r="P110" s="443"/>
      <c r="Q110" s="443"/>
      <c r="R110" s="443"/>
      <c r="S110" s="443"/>
      <c r="T110" s="443"/>
    </row>
    <row r="111" spans="6:20" ht="15" customHeight="1">
      <c r="F111" s="443"/>
      <c r="G111" s="443"/>
      <c r="H111" s="443"/>
      <c r="I111" s="443"/>
      <c r="J111" s="443"/>
      <c r="K111" s="443"/>
      <c r="L111" s="443"/>
      <c r="M111" s="443"/>
      <c r="N111" s="443"/>
      <c r="O111" s="443"/>
      <c r="P111" s="443"/>
      <c r="Q111" s="443"/>
      <c r="R111" s="443"/>
      <c r="S111" s="443"/>
      <c r="T111" s="443"/>
    </row>
    <row r="112" spans="6:20" ht="15" customHeight="1">
      <c r="F112" s="443"/>
      <c r="G112" s="443"/>
      <c r="H112" s="443"/>
      <c r="I112" s="443"/>
      <c r="J112" s="443"/>
      <c r="K112" s="443"/>
      <c r="L112" s="443"/>
      <c r="M112" s="443"/>
      <c r="N112" s="443"/>
      <c r="O112" s="443"/>
      <c r="P112" s="443"/>
      <c r="Q112" s="443"/>
      <c r="R112" s="443"/>
      <c r="S112" s="443"/>
      <c r="T112" s="443"/>
    </row>
    <row r="113" spans="6:20" ht="15" customHeight="1">
      <c r="F113" s="443"/>
      <c r="G113" s="443"/>
      <c r="H113" s="443"/>
      <c r="I113" s="443"/>
      <c r="J113" s="443"/>
      <c r="K113" s="443"/>
      <c r="L113" s="443"/>
      <c r="M113" s="443"/>
      <c r="N113" s="443"/>
      <c r="O113" s="443"/>
      <c r="P113" s="443"/>
      <c r="Q113" s="443"/>
      <c r="R113" s="443"/>
      <c r="S113" s="443"/>
      <c r="T113" s="443"/>
    </row>
    <row r="114" spans="6:20" ht="15" customHeight="1">
      <c r="F114" s="443"/>
      <c r="G114" s="443"/>
      <c r="H114" s="443"/>
      <c r="I114" s="443"/>
      <c r="J114" s="443"/>
      <c r="K114" s="443"/>
      <c r="L114" s="443"/>
      <c r="M114" s="443"/>
      <c r="N114" s="443"/>
      <c r="O114" s="443"/>
      <c r="P114" s="443"/>
      <c r="Q114" s="443"/>
      <c r="R114" s="443"/>
      <c r="S114" s="443"/>
      <c r="T114" s="443"/>
    </row>
    <row r="115" spans="6:20" ht="15" customHeight="1">
      <c r="F115" s="443"/>
      <c r="G115" s="443"/>
      <c r="H115" s="443"/>
      <c r="I115" s="443"/>
      <c r="J115" s="443"/>
      <c r="K115" s="443"/>
      <c r="L115" s="443"/>
      <c r="M115" s="443"/>
      <c r="N115" s="443"/>
      <c r="O115" s="443"/>
      <c r="P115" s="443"/>
      <c r="Q115" s="443"/>
      <c r="R115" s="443"/>
      <c r="S115" s="443"/>
      <c r="T115" s="443"/>
    </row>
    <row r="116" spans="6:20" ht="15" customHeight="1">
      <c r="F116" s="443"/>
      <c r="G116" s="443"/>
      <c r="H116" s="443"/>
      <c r="I116" s="443"/>
      <c r="J116" s="443"/>
      <c r="K116" s="443"/>
      <c r="L116" s="443"/>
      <c r="M116" s="443"/>
      <c r="N116" s="443"/>
      <c r="O116" s="443"/>
      <c r="P116" s="443"/>
      <c r="Q116" s="443"/>
      <c r="R116" s="443"/>
      <c r="S116" s="443"/>
      <c r="T116" s="443"/>
    </row>
    <row r="117" spans="6:20" ht="15" customHeight="1">
      <c r="F117" s="443"/>
      <c r="G117" s="443"/>
      <c r="H117" s="443"/>
      <c r="I117" s="443"/>
      <c r="J117" s="443"/>
      <c r="K117" s="443"/>
      <c r="L117" s="443"/>
      <c r="M117" s="443"/>
      <c r="N117" s="443"/>
      <c r="O117" s="443"/>
      <c r="P117" s="443"/>
      <c r="Q117" s="443"/>
      <c r="R117" s="443"/>
      <c r="S117" s="443"/>
      <c r="T117" s="443"/>
    </row>
    <row r="118" spans="6:20" ht="15" customHeight="1">
      <c r="F118" s="443"/>
      <c r="G118" s="443"/>
      <c r="H118" s="443"/>
      <c r="I118" s="443"/>
      <c r="J118" s="443"/>
      <c r="K118" s="443"/>
      <c r="L118" s="443"/>
      <c r="M118" s="443"/>
      <c r="N118" s="443"/>
      <c r="O118" s="443"/>
      <c r="P118" s="443"/>
      <c r="Q118" s="443"/>
      <c r="R118" s="443"/>
      <c r="S118" s="443"/>
      <c r="T118" s="443"/>
    </row>
    <row r="119" spans="6:20" ht="15" customHeight="1">
      <c r="F119" s="443"/>
      <c r="G119" s="443"/>
      <c r="H119" s="443"/>
      <c r="I119" s="443"/>
      <c r="J119" s="443"/>
      <c r="K119" s="443"/>
      <c r="L119" s="443"/>
      <c r="M119" s="443"/>
      <c r="N119" s="443"/>
      <c r="O119" s="443"/>
      <c r="P119" s="443"/>
      <c r="Q119" s="443"/>
      <c r="R119" s="443"/>
      <c r="S119" s="443"/>
      <c r="T119" s="443"/>
    </row>
    <row r="120" spans="6:20" ht="15" customHeight="1">
      <c r="F120" s="443"/>
      <c r="G120" s="443"/>
      <c r="H120" s="443"/>
      <c r="I120" s="443"/>
      <c r="J120" s="443"/>
      <c r="K120" s="443"/>
      <c r="L120" s="443"/>
      <c r="M120" s="443"/>
      <c r="N120" s="443"/>
      <c r="O120" s="443"/>
      <c r="P120" s="443"/>
      <c r="Q120" s="443"/>
      <c r="R120" s="443"/>
      <c r="S120" s="443"/>
      <c r="T120" s="443"/>
    </row>
    <row r="121" spans="6:20" ht="15" customHeight="1">
      <c r="F121" s="443"/>
      <c r="G121" s="443"/>
      <c r="H121" s="443"/>
      <c r="I121" s="443"/>
      <c r="J121" s="443"/>
      <c r="K121" s="443"/>
      <c r="L121" s="443"/>
      <c r="M121" s="443"/>
      <c r="N121" s="443"/>
      <c r="O121" s="443"/>
      <c r="P121" s="443"/>
      <c r="Q121" s="443"/>
      <c r="R121" s="443"/>
      <c r="S121" s="443"/>
      <c r="T121" s="443"/>
    </row>
    <row r="122" spans="6:20" ht="15" customHeight="1">
      <c r="F122" s="443"/>
      <c r="G122" s="443"/>
      <c r="H122" s="443"/>
      <c r="I122" s="443"/>
      <c r="J122" s="443"/>
      <c r="K122" s="443"/>
      <c r="L122" s="443"/>
      <c r="M122" s="443"/>
      <c r="N122" s="443"/>
      <c r="O122" s="443"/>
      <c r="P122" s="443"/>
      <c r="Q122" s="443"/>
      <c r="R122" s="443"/>
      <c r="S122" s="443"/>
      <c r="T122" s="443"/>
    </row>
    <row r="123" spans="6:20" ht="15" customHeight="1">
      <c r="F123" s="443"/>
      <c r="G123" s="443"/>
      <c r="H123" s="443"/>
      <c r="I123" s="443"/>
      <c r="J123" s="443"/>
      <c r="K123" s="443"/>
      <c r="L123" s="443"/>
      <c r="M123" s="443"/>
      <c r="N123" s="443"/>
      <c r="O123" s="443"/>
      <c r="P123" s="443"/>
      <c r="Q123" s="443"/>
      <c r="R123" s="443"/>
      <c r="S123" s="443"/>
      <c r="T123" s="443"/>
    </row>
    <row r="124" spans="6:20" ht="15" customHeight="1">
      <c r="F124" s="443"/>
      <c r="G124" s="443"/>
      <c r="H124" s="443"/>
      <c r="I124" s="443"/>
      <c r="J124" s="443"/>
      <c r="K124" s="443"/>
      <c r="L124" s="443"/>
      <c r="M124" s="443"/>
      <c r="N124" s="443"/>
      <c r="O124" s="443"/>
      <c r="P124" s="443"/>
      <c r="Q124" s="443"/>
      <c r="R124" s="443"/>
      <c r="S124" s="443"/>
      <c r="T124" s="443"/>
    </row>
    <row r="125" spans="6:20" ht="15" customHeight="1">
      <c r="F125" s="443"/>
      <c r="G125" s="443"/>
      <c r="H125" s="443"/>
      <c r="I125" s="443"/>
      <c r="J125" s="443"/>
      <c r="K125" s="443"/>
      <c r="L125" s="443"/>
      <c r="M125" s="443"/>
      <c r="N125" s="443"/>
      <c r="O125" s="443"/>
      <c r="P125" s="443"/>
      <c r="Q125" s="443"/>
      <c r="R125" s="443"/>
      <c r="S125" s="443"/>
      <c r="T125" s="443"/>
    </row>
    <row r="126" spans="6:20" ht="15" customHeight="1">
      <c r="F126" s="443"/>
      <c r="G126" s="443"/>
      <c r="H126" s="443"/>
      <c r="I126" s="443"/>
      <c r="J126" s="443"/>
      <c r="K126" s="443"/>
      <c r="L126" s="443"/>
      <c r="M126" s="443"/>
      <c r="N126" s="443"/>
      <c r="O126" s="443"/>
      <c r="P126" s="443"/>
      <c r="Q126" s="443"/>
      <c r="R126" s="443"/>
      <c r="S126" s="443"/>
      <c r="T126" s="443"/>
    </row>
    <row r="127" spans="6:20" ht="15" customHeight="1">
      <c r="F127" s="443"/>
      <c r="G127" s="443"/>
      <c r="H127" s="443"/>
      <c r="I127" s="443"/>
      <c r="J127" s="443"/>
      <c r="K127" s="443"/>
      <c r="L127" s="443"/>
      <c r="M127" s="443"/>
      <c r="N127" s="443"/>
      <c r="O127" s="443"/>
      <c r="P127" s="443"/>
      <c r="Q127" s="443"/>
      <c r="R127" s="443"/>
      <c r="S127" s="443"/>
      <c r="T127" s="443"/>
    </row>
    <row r="128" spans="6:20" ht="15" customHeight="1">
      <c r="F128" s="443"/>
      <c r="G128" s="443"/>
      <c r="H128" s="443"/>
      <c r="I128" s="443"/>
      <c r="J128" s="443"/>
      <c r="K128" s="443"/>
      <c r="L128" s="443"/>
      <c r="M128" s="443"/>
      <c r="N128" s="443"/>
      <c r="O128" s="443"/>
      <c r="P128" s="443"/>
      <c r="Q128" s="443"/>
      <c r="R128" s="443"/>
      <c r="S128" s="443"/>
      <c r="T128" s="443"/>
    </row>
    <row r="129" spans="6:20" ht="15" customHeight="1">
      <c r="F129" s="443"/>
      <c r="G129" s="443"/>
      <c r="H129" s="443"/>
      <c r="I129" s="443"/>
      <c r="J129" s="443"/>
      <c r="K129" s="443"/>
      <c r="L129" s="443"/>
      <c r="M129" s="443"/>
      <c r="N129" s="443"/>
      <c r="O129" s="443"/>
      <c r="P129" s="443"/>
      <c r="Q129" s="443"/>
      <c r="R129" s="443"/>
      <c r="S129" s="443"/>
      <c r="T129" s="443"/>
    </row>
    <row r="130" spans="6:20" ht="15" customHeight="1">
      <c r="F130" s="443"/>
      <c r="G130" s="443"/>
      <c r="H130" s="443"/>
      <c r="I130" s="443"/>
      <c r="J130" s="443"/>
      <c r="K130" s="443"/>
      <c r="L130" s="443"/>
      <c r="M130" s="443"/>
      <c r="N130" s="443"/>
      <c r="O130" s="443"/>
      <c r="P130" s="443"/>
      <c r="Q130" s="443"/>
      <c r="R130" s="443"/>
      <c r="S130" s="443"/>
      <c r="T130" s="443"/>
    </row>
    <row r="131" spans="6:20" ht="15" customHeight="1">
      <c r="F131" s="443"/>
      <c r="G131" s="443"/>
      <c r="H131" s="443"/>
      <c r="I131" s="443"/>
      <c r="J131" s="443"/>
      <c r="K131" s="443"/>
      <c r="L131" s="443"/>
      <c r="M131" s="443"/>
      <c r="N131" s="443"/>
      <c r="O131" s="443"/>
      <c r="P131" s="443"/>
      <c r="Q131" s="443"/>
      <c r="R131" s="443"/>
      <c r="S131" s="443"/>
      <c r="T131" s="443"/>
    </row>
    <row r="132" spans="6:20" ht="15" customHeight="1">
      <c r="F132" s="443"/>
      <c r="G132" s="443"/>
      <c r="H132" s="443"/>
      <c r="I132" s="443"/>
      <c r="J132" s="443"/>
      <c r="K132" s="443"/>
      <c r="L132" s="443"/>
      <c r="M132" s="443"/>
      <c r="N132" s="443"/>
      <c r="O132" s="443"/>
      <c r="P132" s="443"/>
      <c r="Q132" s="443"/>
      <c r="R132" s="443"/>
      <c r="S132" s="443"/>
      <c r="T132" s="443"/>
    </row>
    <row r="133" spans="6:20" ht="15" customHeight="1">
      <c r="F133" s="443"/>
      <c r="G133" s="443"/>
      <c r="H133" s="443"/>
      <c r="I133" s="443"/>
      <c r="J133" s="443"/>
      <c r="K133" s="443"/>
      <c r="L133" s="443"/>
      <c r="M133" s="443"/>
      <c r="N133" s="443"/>
      <c r="O133" s="443"/>
      <c r="P133" s="443"/>
      <c r="Q133" s="443"/>
      <c r="R133" s="443"/>
      <c r="S133" s="443"/>
      <c r="T133" s="443"/>
    </row>
    <row r="134" spans="6:20" ht="15" customHeight="1">
      <c r="F134" s="443"/>
      <c r="G134" s="443"/>
      <c r="H134" s="443"/>
      <c r="I134" s="443"/>
      <c r="J134" s="443"/>
      <c r="K134" s="443"/>
      <c r="L134" s="443"/>
      <c r="M134" s="443"/>
      <c r="N134" s="443"/>
      <c r="O134" s="443"/>
      <c r="P134" s="443"/>
      <c r="Q134" s="443"/>
      <c r="R134" s="443"/>
      <c r="S134" s="443"/>
      <c r="T134" s="443"/>
    </row>
    <row r="135" spans="6:20" ht="15" customHeight="1">
      <c r="F135" s="443"/>
      <c r="G135" s="443"/>
      <c r="H135" s="443"/>
      <c r="I135" s="443"/>
      <c r="J135" s="443"/>
      <c r="K135" s="443"/>
      <c r="L135" s="443"/>
      <c r="M135" s="443"/>
      <c r="N135" s="443"/>
      <c r="O135" s="443"/>
      <c r="P135" s="443"/>
      <c r="Q135" s="443"/>
      <c r="R135" s="443"/>
      <c r="S135" s="443"/>
      <c r="T135" s="443"/>
    </row>
    <row r="136" spans="6:20" ht="15" customHeight="1">
      <c r="F136" s="443"/>
      <c r="G136" s="443"/>
      <c r="H136" s="443"/>
      <c r="I136" s="443"/>
      <c r="J136" s="443"/>
      <c r="K136" s="443"/>
      <c r="L136" s="443"/>
      <c r="M136" s="443"/>
      <c r="N136" s="443"/>
      <c r="O136" s="443"/>
      <c r="P136" s="443"/>
      <c r="Q136" s="443"/>
      <c r="R136" s="443"/>
      <c r="S136" s="443"/>
      <c r="T136" s="443"/>
    </row>
    <row r="137" spans="6:20" ht="15" customHeight="1">
      <c r="F137" s="443"/>
      <c r="G137" s="443"/>
      <c r="H137" s="443"/>
      <c r="I137" s="443"/>
      <c r="J137" s="443"/>
      <c r="K137" s="443"/>
      <c r="L137" s="443"/>
      <c r="M137" s="443"/>
      <c r="N137" s="443"/>
      <c r="O137" s="443"/>
      <c r="P137" s="443"/>
      <c r="Q137" s="443"/>
      <c r="R137" s="443"/>
      <c r="S137" s="443"/>
      <c r="T137" s="443"/>
    </row>
    <row r="138" spans="6:20" ht="15" customHeight="1">
      <c r="F138" s="443"/>
      <c r="G138" s="443"/>
      <c r="H138" s="443"/>
      <c r="I138" s="443"/>
      <c r="J138" s="443"/>
      <c r="K138" s="443"/>
      <c r="L138" s="443"/>
      <c r="M138" s="443"/>
      <c r="N138" s="443"/>
      <c r="O138" s="443"/>
      <c r="P138" s="443"/>
      <c r="Q138" s="443"/>
      <c r="R138" s="443"/>
      <c r="S138" s="443"/>
      <c r="T138" s="443"/>
    </row>
  </sheetData>
  <sortState ref="B6:E6">
    <sortCondition ref="B5:B6"/>
  </sortState>
  <conditionalFormatting sqref="E3">
    <cfRule type="expression" dxfId="3" priority="3" stopIfTrue="1">
      <formula>NOT(E3="")</formula>
    </cfRule>
  </conditionalFormatting>
  <hyperlinks>
    <hyperlink ref="A2" location="Sisukord!A1" display="Sisukord"/>
  </hyperlink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66"/>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C8" sqref="C8"/>
    </sheetView>
  </sheetViews>
  <sheetFormatPr defaultColWidth="9.453125" defaultRowHeight="15"/>
  <cols>
    <col min="1" max="1" width="7.1796875" style="302" customWidth="1"/>
    <col min="2" max="2" width="43.54296875" style="297" customWidth="1"/>
    <col min="3" max="3" width="32.453125" style="297" customWidth="1"/>
    <col min="4" max="4" width="22.54296875" style="297" customWidth="1"/>
    <col min="5" max="5" width="21.1796875" style="297" customWidth="1"/>
    <col min="6" max="6" width="15.7265625" style="297" customWidth="1"/>
    <col min="7" max="7" width="158" style="297" customWidth="1"/>
    <col min="8" max="16384" width="9.453125" style="297"/>
  </cols>
  <sheetData>
    <row r="1" spans="1:7" ht="21" customHeight="1">
      <c r="B1" s="291" t="s">
        <v>1852</v>
      </c>
    </row>
    <row r="2" spans="1:7" ht="14">
      <c r="A2" s="295" t="s">
        <v>1</v>
      </c>
    </row>
    <row r="3" spans="1:7" s="296" customFormat="1" ht="15" customHeight="1">
      <c r="A3" s="297"/>
      <c r="B3" s="320" t="s">
        <v>377</v>
      </c>
      <c r="C3" s="321"/>
      <c r="D3" s="321"/>
      <c r="E3" s="321"/>
      <c r="F3" s="321"/>
      <c r="G3" s="322"/>
    </row>
    <row r="4" spans="1:7" s="296" customFormat="1" ht="15" customHeight="1">
      <c r="A4" s="297"/>
      <c r="B4" s="450" t="s">
        <v>117</v>
      </c>
      <c r="C4" s="450" t="s">
        <v>378</v>
      </c>
      <c r="D4" s="450" t="s">
        <v>1853</v>
      </c>
      <c r="E4" s="450" t="s">
        <v>379</v>
      </c>
      <c r="F4" s="450" t="s">
        <v>81</v>
      </c>
      <c r="G4" s="451" t="s">
        <v>142</v>
      </c>
    </row>
    <row r="5" spans="1:7" ht="15" customHeight="1">
      <c r="B5" s="323" t="s">
        <v>119</v>
      </c>
      <c r="C5" s="392">
        <f>(0.39*'HT-Sõidukikütused (M1)'!$C$33)*250/9</f>
        <v>28.660930157031785</v>
      </c>
      <c r="D5" s="361" t="s">
        <v>382</v>
      </c>
      <c r="E5" s="392">
        <f>(0.39*'HT-Sõidukikütused (M1)'!$C$33)*250/9</f>
        <v>28.660930157031785</v>
      </c>
      <c r="F5" s="332" t="s">
        <v>2024</v>
      </c>
      <c r="G5" s="323" t="s">
        <v>1564</v>
      </c>
    </row>
    <row r="6" spans="1:7" ht="15" customHeight="1">
      <c r="B6" s="323" t="s">
        <v>121</v>
      </c>
      <c r="C6" s="392">
        <f>(0.39*'HT-Sõidukikütused (M1)'!$C$33)*250/9</f>
        <v>28.660930157031785</v>
      </c>
      <c r="D6" s="361" t="s">
        <v>382</v>
      </c>
      <c r="E6" s="392">
        <f>(0.39*'HT-Sõidukikütused (M1)'!$C$33)*250/9</f>
        <v>28.660930157031785</v>
      </c>
      <c r="F6" s="332" t="s">
        <v>2024</v>
      </c>
      <c r="G6" s="323" t="s">
        <v>1564</v>
      </c>
    </row>
    <row r="7" spans="1:7" ht="15" customHeight="1">
      <c r="B7" s="323" t="s">
        <v>120</v>
      </c>
      <c r="C7" s="392">
        <f>(0.39*'HT-Sõidukikütused (M1)'!$C$33)*250/9</f>
        <v>28.660930157031785</v>
      </c>
      <c r="D7" s="361" t="s">
        <v>382</v>
      </c>
      <c r="E7" s="392">
        <f>(0.39*'HT-Sõidukikütused (M1)'!$C$33)*250/9</f>
        <v>28.660930157031785</v>
      </c>
      <c r="F7" s="332" t="s">
        <v>2024</v>
      </c>
      <c r="G7" s="323" t="s">
        <v>1564</v>
      </c>
    </row>
    <row r="8" spans="1:7" ht="15" customHeight="1">
      <c r="B8" s="323" t="s">
        <v>122</v>
      </c>
      <c r="C8" s="392">
        <f>(0.39*'HT-Sõidukikütused (M1)'!$C$33)*250/9</f>
        <v>28.660930157031785</v>
      </c>
      <c r="D8" s="361" t="s">
        <v>382</v>
      </c>
      <c r="E8" s="392">
        <f>(0.39*'HT-Sõidukikütused (M1)'!$C$33)*250/9</f>
        <v>28.660930157031785</v>
      </c>
      <c r="F8" s="332" t="s">
        <v>2024</v>
      </c>
      <c r="G8" s="323" t="s">
        <v>1564</v>
      </c>
    </row>
    <row r="9" spans="1:7" ht="15" customHeight="1">
      <c r="A9" s="297"/>
      <c r="B9" s="323" t="s">
        <v>1563</v>
      </c>
      <c r="C9" s="361" t="s">
        <v>1854</v>
      </c>
      <c r="D9" s="361">
        <v>620</v>
      </c>
      <c r="E9" s="361">
        <v>620</v>
      </c>
      <c r="F9" s="332" t="s">
        <v>2024</v>
      </c>
      <c r="G9" s="323" t="s">
        <v>2179</v>
      </c>
    </row>
    <row r="10" spans="1:7" ht="15" customHeight="1">
      <c r="A10" s="297"/>
      <c r="B10" s="323" t="s">
        <v>1562</v>
      </c>
      <c r="C10" s="361" t="s">
        <v>1854</v>
      </c>
      <c r="D10" s="361">
        <v>620</v>
      </c>
      <c r="E10" s="361">
        <v>620</v>
      </c>
      <c r="F10" s="332" t="s">
        <v>2024</v>
      </c>
      <c r="G10" s="323" t="s">
        <v>381</v>
      </c>
    </row>
    <row r="11" spans="1:7" ht="15" customHeight="1">
      <c r="A11" s="297"/>
      <c r="B11" s="323" t="s">
        <v>1561</v>
      </c>
      <c r="C11" s="392">
        <f>(0.39*'HT-Sõidukikütused (M1)'!$C$33)*250/9</f>
        <v>28.660930157031785</v>
      </c>
      <c r="D11" s="361">
        <v>519</v>
      </c>
      <c r="E11" s="392">
        <f>SUM(C11:D11)</f>
        <v>547.66093015703177</v>
      </c>
      <c r="F11" s="332" t="s">
        <v>2024</v>
      </c>
      <c r="G11" s="323" t="s">
        <v>380</v>
      </c>
    </row>
    <row r="16" spans="1:7" ht="14">
      <c r="A16" s="297"/>
    </row>
    <row r="25" spans="1:1" ht="14">
      <c r="A25" s="297"/>
    </row>
    <row r="34" spans="1:1" ht="14">
      <c r="A34" s="297"/>
    </row>
    <row r="46" spans="1:1" ht="14">
      <c r="A46" s="297"/>
    </row>
    <row r="47" spans="1:1" ht="14">
      <c r="A47" s="297"/>
    </row>
    <row r="48" spans="1:1" ht="14">
      <c r="A48" s="297"/>
    </row>
    <row r="49" spans="1:1" ht="14">
      <c r="A49" s="297"/>
    </row>
    <row r="66" spans="1:1" ht="14">
      <c r="A66" s="297"/>
    </row>
  </sheetData>
  <sortState ref="B5:G11">
    <sortCondition ref="B5:B11"/>
  </sortState>
  <hyperlinks>
    <hyperlink ref="A2" location="Sisukord!A1" display="Sisukor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59"/>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E22" sqref="E22"/>
    </sheetView>
  </sheetViews>
  <sheetFormatPr defaultColWidth="8.7265625" defaultRowHeight="15"/>
  <cols>
    <col min="1" max="1" width="7.1796875" style="302" customWidth="1"/>
    <col min="2" max="2" width="24.453125" style="297" customWidth="1"/>
    <col min="3" max="6" width="20.1796875" style="297" customWidth="1"/>
    <col min="7" max="8" width="8.7265625" style="297"/>
    <col min="9" max="9" width="18.453125" style="297" bestFit="1" customWidth="1"/>
    <col min="10" max="16384" width="8.7265625" style="297"/>
  </cols>
  <sheetData>
    <row r="1" spans="1:6" ht="21" customHeight="1">
      <c r="B1" s="291" t="s">
        <v>2173</v>
      </c>
    </row>
    <row r="2" spans="1:6" ht="14">
      <c r="A2" s="295" t="s">
        <v>1</v>
      </c>
    </row>
    <row r="3" spans="1:6" ht="30">
      <c r="A3" s="297"/>
      <c r="B3" s="448" t="s">
        <v>1822</v>
      </c>
      <c r="C3" s="449" t="s">
        <v>2020</v>
      </c>
      <c r="D3" s="449" t="s">
        <v>2021</v>
      </c>
      <c r="E3" s="449" t="s">
        <v>2022</v>
      </c>
      <c r="F3" s="449" t="s">
        <v>2023</v>
      </c>
    </row>
    <row r="4" spans="1:6" ht="14">
      <c r="A4" s="297"/>
      <c r="B4" s="445" t="s">
        <v>173</v>
      </c>
      <c r="C4" s="446">
        <v>25</v>
      </c>
      <c r="D4" s="446">
        <v>298</v>
      </c>
      <c r="E4" s="447">
        <v>17200</v>
      </c>
      <c r="F4" s="447">
        <v>22800</v>
      </c>
    </row>
    <row r="5" spans="1:6">
      <c r="B5" s="445" t="s">
        <v>855</v>
      </c>
      <c r="C5" s="446">
        <v>28</v>
      </c>
      <c r="D5" s="446">
        <v>265</v>
      </c>
      <c r="E5" s="447">
        <v>16100</v>
      </c>
      <c r="F5" s="447">
        <v>23500</v>
      </c>
    </row>
    <row r="6" spans="1:6">
      <c r="B6" s="445" t="s">
        <v>1932</v>
      </c>
      <c r="C6" s="446">
        <v>27.9</v>
      </c>
      <c r="D6" s="446">
        <v>273</v>
      </c>
      <c r="E6" s="447">
        <v>17400</v>
      </c>
      <c r="F6" s="447">
        <v>24300</v>
      </c>
    </row>
    <row r="9" spans="1:6" ht="14">
      <c r="A9" s="297"/>
    </row>
    <row r="18" spans="1:1" ht="14">
      <c r="A18" s="297"/>
    </row>
    <row r="27" spans="1:1" ht="14">
      <c r="A27" s="297"/>
    </row>
    <row r="39" spans="1:1" ht="14">
      <c r="A39" s="297"/>
    </row>
    <row r="40" spans="1:1" ht="14">
      <c r="A40" s="297"/>
    </row>
    <row r="41" spans="1:1" ht="14">
      <c r="A41" s="297"/>
    </row>
    <row r="42" spans="1:1" ht="14">
      <c r="A42" s="297"/>
    </row>
    <row r="59" spans="1:1" ht="14">
      <c r="A59" s="297"/>
    </row>
  </sheetData>
  <hyperlinks>
    <hyperlink ref="A2" location="Sisukord!A1" display="Sisukor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Q341"/>
  <sheetViews>
    <sheetView showGridLines="0" zoomScale="90" zoomScaleNormal="90" workbookViewId="0">
      <pane xSplit="1" ySplit="1" topLeftCell="B221" activePane="bottomRight" state="frozen"/>
      <selection pane="topRight" activeCell="B1" sqref="B1"/>
      <selection pane="bottomLeft" activeCell="A2" sqref="A2"/>
      <selection pane="bottomRight" activeCell="G238" sqref="G238"/>
    </sheetView>
  </sheetViews>
  <sheetFormatPr defaultColWidth="8.7265625" defaultRowHeight="15" customHeight="1"/>
  <cols>
    <col min="1" max="1" width="7.1796875" style="779" customWidth="1"/>
    <col min="2" max="2" width="60.1796875" style="297" customWidth="1"/>
    <col min="3" max="6" width="15.453125" style="297" customWidth="1"/>
    <col min="7" max="7" width="23.1796875" style="297" customWidth="1"/>
    <col min="8" max="8" width="21.453125" style="297" bestFit="1" customWidth="1"/>
    <col min="9" max="9" width="143.81640625" style="297" customWidth="1"/>
    <col min="10" max="10" width="8.7265625" style="297" customWidth="1"/>
    <col min="11" max="16384" width="8.7265625" style="297"/>
  </cols>
  <sheetData>
    <row r="1" spans="1:9" ht="21" customHeight="1">
      <c r="B1" s="291" t="s">
        <v>2144</v>
      </c>
    </row>
    <row r="2" spans="1:9" ht="15" customHeight="1">
      <c r="A2" s="295" t="s">
        <v>1</v>
      </c>
      <c r="B2" s="291"/>
    </row>
    <row r="3" spans="1:9" ht="15" customHeight="1">
      <c r="A3" s="297"/>
      <c r="B3" s="825" t="s">
        <v>1933</v>
      </c>
    </row>
    <row r="4" spans="1:9" ht="15" customHeight="1">
      <c r="A4" s="297"/>
      <c r="B4" s="320" t="s">
        <v>141</v>
      </c>
      <c r="C4" s="328"/>
      <c r="D4" s="328"/>
      <c r="E4" s="328"/>
      <c r="F4" s="328"/>
      <c r="G4" s="328"/>
      <c r="H4" s="328"/>
      <c r="I4" s="484"/>
    </row>
    <row r="5" spans="1:9" ht="15" customHeight="1">
      <c r="B5" s="330" t="s">
        <v>1447</v>
      </c>
      <c r="C5" s="331" t="s">
        <v>1937</v>
      </c>
      <c r="D5" s="331" t="s">
        <v>2145</v>
      </c>
      <c r="E5" s="331" t="s">
        <v>2146</v>
      </c>
      <c r="F5" s="331" t="s">
        <v>2147</v>
      </c>
      <c r="G5" s="495" t="s">
        <v>1938</v>
      </c>
      <c r="H5" s="801" t="s">
        <v>81</v>
      </c>
      <c r="I5" s="366" t="s">
        <v>142</v>
      </c>
    </row>
    <row r="6" spans="1:9" ht="15" customHeight="1">
      <c r="B6" s="332" t="s">
        <v>1516</v>
      </c>
      <c r="C6" s="333">
        <f>C7/3.6*11.9</f>
        <v>0</v>
      </c>
      <c r="D6" s="333">
        <f>D7/3.6*11.9</f>
        <v>0.96637821555635461</v>
      </c>
      <c r="E6" s="333">
        <f>E7/3.6*11.9</f>
        <v>0.6994606171710861</v>
      </c>
      <c r="F6" s="334">
        <f>C6*44/12+_xlfn.XLOOKUP(TULEMUSED!$D$4,'AR väärtused'!$B$4,'AR väärtused'!$C$4)*D6/1000+_xlfn.XLOOKUP(TULEMUSED!$D$4,'AR väärtused'!$B$4,'AR väärtused'!$D$4)*E6/1000</f>
        <v>0.23259871930589254</v>
      </c>
      <c r="G6" s="804">
        <f>F6/(1/0.0036)</f>
        <v>8.3735538950121321E-4</v>
      </c>
      <c r="H6" s="336" t="s">
        <v>2007</v>
      </c>
      <c r="I6" s="332" t="s">
        <v>1940</v>
      </c>
    </row>
    <row r="7" spans="1:9" s="822" customFormat="1" ht="15" customHeight="1">
      <c r="A7" s="821"/>
      <c r="B7" s="338" t="s">
        <v>1517</v>
      </c>
      <c r="C7" s="824">
        <v>0</v>
      </c>
      <c r="D7" s="339">
        <v>0.2923497122691493</v>
      </c>
      <c r="E7" s="339">
        <v>0.21160153124503445</v>
      </c>
      <c r="F7" s="340">
        <f>C7*44/12+_xlfn.XLOOKUP(TULEMUSED!$D$4,'AR väärtused'!$B$4,'AR väärtused'!$C$4)*D7/1000+_xlfn.XLOOKUP(TULEMUSED!$D$4,'AR väärtused'!$B$4,'AR väärtused'!$D$4)*E7/1000</f>
        <v>7.0365999117749004E-2</v>
      </c>
      <c r="G7" s="804">
        <f t="shared" ref="G7:G12" si="0">F7/(1/0.0036)</f>
        <v>2.5331759682389643E-4</v>
      </c>
      <c r="H7" s="823" t="s">
        <v>2008</v>
      </c>
      <c r="I7" s="338" t="s">
        <v>1939</v>
      </c>
    </row>
    <row r="8" spans="1:9" ht="15" customHeight="1">
      <c r="B8" s="338" t="s">
        <v>143</v>
      </c>
      <c r="C8" s="339">
        <v>0</v>
      </c>
      <c r="D8" s="343">
        <v>2.5265462447956219E-3</v>
      </c>
      <c r="E8" s="343">
        <v>0.11941039845344217</v>
      </c>
      <c r="F8" s="340">
        <f>C8*44/12+_xlfn.XLOOKUP(TULEMUSED!$D$4,'AR väärtused'!$B$4,'AR väärtused'!$C$4)*D8/1000+_xlfn.XLOOKUP(TULEMUSED!$D$4,'AR väärtused'!$B$4,'AR väärtused'!$D$4)*E8/1000</f>
        <v>3.564746239524566E-2</v>
      </c>
      <c r="G8" s="805">
        <f t="shared" si="0"/>
        <v>1.2833086462288437E-4</v>
      </c>
      <c r="H8" s="341" t="s">
        <v>2008</v>
      </c>
      <c r="I8" s="332" t="s">
        <v>1939</v>
      </c>
    </row>
    <row r="9" spans="1:9" ht="15" customHeight="1">
      <c r="B9" s="332" t="s">
        <v>1685</v>
      </c>
      <c r="C9" s="333">
        <f>C8/3.6*34.13</f>
        <v>0</v>
      </c>
      <c r="D9" s="333">
        <f>D8/3.6*34.13</f>
        <v>2.395306203746516E-2</v>
      </c>
      <c r="E9" s="333">
        <f>E8/3.6*34.13</f>
        <v>1.1320769164488838</v>
      </c>
      <c r="F9" s="340">
        <f>C9*44/12+_xlfn.XLOOKUP(TULEMUSED!$D$4,'AR väärtused'!$B$4,'AR väärtused'!$C$4)*D9/1000+_xlfn.XLOOKUP(TULEMUSED!$D$4,'AR väärtused'!$B$4,'AR väärtused'!$D$4)*E9/1000</f>
        <v>0.33795774765270398</v>
      </c>
      <c r="G9" s="804">
        <f t="shared" si="0"/>
        <v>1.2166478915497344E-3</v>
      </c>
      <c r="H9" s="336" t="s">
        <v>2009</v>
      </c>
      <c r="I9" s="332" t="s">
        <v>2010</v>
      </c>
    </row>
    <row r="10" spans="1:9" ht="15" customHeight="1">
      <c r="B10" s="332" t="s">
        <v>74</v>
      </c>
      <c r="C10" s="343">
        <v>19.940410120683477</v>
      </c>
      <c r="D10" s="343">
        <v>3</v>
      </c>
      <c r="E10" s="343">
        <v>0.6</v>
      </c>
      <c r="F10" s="340">
        <f>C10*44/12+_xlfn.XLOOKUP(TULEMUSED!$D$4,'AR väärtused'!$B$4,'AR väärtused'!$C$4)*D10/1000+_xlfn.XLOOKUP(TULEMUSED!$D$4,'AR väärtused'!$B$4,'AR väärtused'!$D$4)*E10/1000</f>
        <v>73.368637109172752</v>
      </c>
      <c r="G10" s="344">
        <f>F10/(1/0.0036)</f>
        <v>0.26412709359302189</v>
      </c>
      <c r="H10" s="341" t="s">
        <v>2008</v>
      </c>
      <c r="I10" s="332" t="s">
        <v>1941</v>
      </c>
    </row>
    <row r="11" spans="1:9" ht="15" customHeight="1">
      <c r="B11" s="332" t="s">
        <v>144</v>
      </c>
      <c r="C11" s="333">
        <f>C10/3.6*35.69</f>
        <v>197.68701033533145</v>
      </c>
      <c r="D11" s="333">
        <f>D10/3.6*35.69</f>
        <v>29.741666666666664</v>
      </c>
      <c r="E11" s="333">
        <f>E10/3.6*35.69</f>
        <v>5.9483333333333324</v>
      </c>
      <c r="F11" s="340">
        <f>C11*44/12+_xlfn.XLOOKUP(TULEMUSED!$D$4,'AR väärtused'!$B$4,'AR väärtused'!$C$4)*D11/1000+_xlfn.XLOOKUP(TULEMUSED!$D$4,'AR väärtused'!$B$4,'AR väärtused'!$D$4)*E11/1000</f>
        <v>727.36851622954873</v>
      </c>
      <c r="G11" s="335">
        <f t="shared" si="0"/>
        <v>2.6185266584263753</v>
      </c>
      <c r="H11" s="799" t="s">
        <v>2011</v>
      </c>
      <c r="I11" s="332" t="s">
        <v>1942</v>
      </c>
    </row>
    <row r="12" spans="1:9" ht="15" customHeight="1">
      <c r="B12" s="323" t="s">
        <v>76</v>
      </c>
      <c r="C12" s="343">
        <v>28.9</v>
      </c>
      <c r="D12" s="343">
        <v>1.7203203989869351</v>
      </c>
      <c r="E12" s="343">
        <v>2.4520887803148916</v>
      </c>
      <c r="F12" s="340">
        <f>C12*44/12+_xlfn.XLOOKUP(TULEMUSED!$D$4,'AR väärtused'!$B$4,'AR väärtused'!$C$4)*D12/1000+_xlfn.XLOOKUP(TULEMUSED!$D$4,'AR väärtused'!$B$4,'AR väärtused'!$D$4)*E12/1000</f>
        <v>106.74039713317516</v>
      </c>
      <c r="G12" s="344">
        <f t="shared" si="0"/>
        <v>0.38426542967943061</v>
      </c>
      <c r="H12" s="341" t="s">
        <v>2008</v>
      </c>
      <c r="I12" s="332" t="s">
        <v>1939</v>
      </c>
    </row>
    <row r="13" spans="1:9" ht="15" customHeight="1">
      <c r="B13" s="323" t="s">
        <v>145</v>
      </c>
      <c r="C13" s="333">
        <v>0</v>
      </c>
      <c r="D13" s="333">
        <v>0</v>
      </c>
      <c r="E13" s="333">
        <v>0</v>
      </c>
      <c r="F13" s="340">
        <f>C13*44/12+_xlfn.XLOOKUP(TULEMUSED!$D$4,'AR väärtused'!$B$4,'AR väärtused'!$C$4)*D13/1000+_xlfn.XLOOKUP(TULEMUSED!$D$4,'AR väärtused'!$B$4,'AR väärtused'!$D$4)*E13/1000</f>
        <v>0</v>
      </c>
      <c r="G13" s="344">
        <f t="shared" ref="G13:G14" si="1">F13/(1/0.0036)</f>
        <v>0</v>
      </c>
      <c r="H13" s="341" t="s">
        <v>2008</v>
      </c>
      <c r="I13" s="323" t="s">
        <v>146</v>
      </c>
    </row>
    <row r="14" spans="1:9" ht="15" customHeight="1">
      <c r="B14" s="323" t="s">
        <v>147</v>
      </c>
      <c r="C14" s="345">
        <v>0</v>
      </c>
      <c r="D14" s="345">
        <v>0</v>
      </c>
      <c r="E14" s="345">
        <v>0</v>
      </c>
      <c r="F14" s="340">
        <f>C14*44/12+_xlfn.XLOOKUP(TULEMUSED!$D$4,'AR väärtused'!$B$4,'AR väärtused'!$C$4)*D14/1000+_xlfn.XLOOKUP(TULEMUSED!$D$4,'AR väärtused'!$B$4,'AR väärtused'!$D$4)*E14/1000</f>
        <v>0</v>
      </c>
      <c r="G14" s="344">
        <f t="shared" si="1"/>
        <v>0</v>
      </c>
      <c r="H14" s="341" t="s">
        <v>2008</v>
      </c>
      <c r="I14" s="323" t="s">
        <v>146</v>
      </c>
    </row>
    <row r="15" spans="1:9" ht="15" customHeight="1">
      <c r="B15" s="332" t="s">
        <v>1716</v>
      </c>
      <c r="C15" s="333">
        <f>C16/3.6*42.5</f>
        <v>238.84247995243763</v>
      </c>
      <c r="D15" s="333">
        <f>D16/3.6*42.5</f>
        <v>3.9044139612577418E-2</v>
      </c>
      <c r="E15" s="333">
        <f>E16/3.6*42.5</f>
        <v>2.0422748997137563</v>
      </c>
      <c r="F15" s="340">
        <f>C15*44/12+_xlfn.XLOOKUP(TULEMUSED!$D$4,'AR väärtused'!$B$4,'AR väärtused'!$C$4)*D15/1000+_xlfn.XLOOKUP(TULEMUSED!$D$4,'AR väärtused'!$B$4,'AR väärtused'!$D$4)*E15/1000</f>
        <v>876.36533384920972</v>
      </c>
      <c r="G15" s="335">
        <f t="shared" ref="G15:G23" si="2">F15/(1/0.0036)</f>
        <v>3.1549152018571549</v>
      </c>
      <c r="H15" s="336" t="s">
        <v>2007</v>
      </c>
      <c r="I15" s="332" t="s">
        <v>2244</v>
      </c>
    </row>
    <row r="16" spans="1:9" ht="15" customHeight="1">
      <c r="B16" s="332" t="s">
        <v>148</v>
      </c>
      <c r="C16" s="343">
        <v>20.231363007735894</v>
      </c>
      <c r="D16" s="343">
        <v>3.3072682965947929E-3</v>
      </c>
      <c r="E16" s="343">
        <v>0.17299269738751821</v>
      </c>
      <c r="F16" s="340">
        <f>C16*44/12+_xlfn.XLOOKUP(TULEMUSED!$D$4,'AR väärtused'!$B$4,'AR väärtused'!$C$4)*D16/1000+_xlfn.XLOOKUP(TULEMUSED!$D$4,'AR väärtused'!$B$4,'AR väärtused'!$D$4)*E16/1000</f>
        <v>74.233298867227177</v>
      </c>
      <c r="G16" s="344">
        <f t="shared" si="2"/>
        <v>0.26723987592201787</v>
      </c>
      <c r="H16" s="341" t="s">
        <v>2008</v>
      </c>
      <c r="I16" s="332" t="s">
        <v>1939</v>
      </c>
    </row>
    <row r="17" spans="2:9" ht="15" customHeight="1">
      <c r="B17" s="332" t="s">
        <v>1647</v>
      </c>
      <c r="C17" s="333">
        <f>C18/3.6*24.94</f>
        <v>178.49289928234901</v>
      </c>
      <c r="D17" s="333">
        <f t="shared" ref="D17:E17" si="3">D18/3.6*24.94</f>
        <v>6.927777777777778</v>
      </c>
      <c r="E17" s="333">
        <f t="shared" si="3"/>
        <v>10.391666666666666</v>
      </c>
      <c r="F17" s="340">
        <f>C17*44/12+_xlfn.XLOOKUP(TULEMUSED!$D$4,'AR väärtused'!$B$4,'AR väärtused'!$C$4)*D17/1000+_xlfn.XLOOKUP(TULEMUSED!$D$4,'AR väärtused'!$B$4,'AR väärtused'!$D$4)*E17/1000</f>
        <v>657.74387514639079</v>
      </c>
      <c r="G17" s="335">
        <f t="shared" si="2"/>
        <v>2.3678779505270069</v>
      </c>
      <c r="H17" s="336" t="s">
        <v>2007</v>
      </c>
      <c r="I17" s="332" t="s">
        <v>1943</v>
      </c>
    </row>
    <row r="18" spans="2:9" ht="15" customHeight="1">
      <c r="B18" s="332" t="s">
        <v>1646</v>
      </c>
      <c r="C18" s="343">
        <v>25.764813047973394</v>
      </c>
      <c r="D18" s="343">
        <v>1</v>
      </c>
      <c r="E18" s="343">
        <v>1.5</v>
      </c>
      <c r="F18" s="340">
        <f>C18*44/12+_xlfn.XLOOKUP(TULEMUSED!$D$4,'AR väärtused'!$B$4,'AR väärtused'!$C$4)*D18/1000+_xlfn.XLOOKUP(TULEMUSED!$D$4,'AR väärtused'!$B$4,'AR väärtused'!$D$4)*E18/1000</f>
        <v>94.94298117590246</v>
      </c>
      <c r="G18" s="344">
        <f t="shared" si="2"/>
        <v>0.34179473223324885</v>
      </c>
      <c r="H18" s="341" t="s">
        <v>2008</v>
      </c>
      <c r="I18" s="332" t="s">
        <v>1941</v>
      </c>
    </row>
    <row r="19" spans="2:9" ht="15" customHeight="1">
      <c r="B19" s="323" t="s">
        <v>1648</v>
      </c>
      <c r="C19" s="343">
        <v>15.07</v>
      </c>
      <c r="D19" s="343">
        <v>2.5265462447956219E-3</v>
      </c>
      <c r="E19" s="343">
        <v>0.11941039845344217</v>
      </c>
      <c r="F19" s="340">
        <f>C19*44/12+_xlfn.XLOOKUP(TULEMUSED!$D$4,'AR väärtused'!$B$4,'AR väärtused'!$C$4)*D19/1000+_xlfn.XLOOKUP(TULEMUSED!$D$4,'AR väärtused'!$B$4,'AR väärtused'!$D$4)*E19/1000</f>
        <v>55.292314129061914</v>
      </c>
      <c r="G19" s="344">
        <f t="shared" si="2"/>
        <v>0.1990523308646229</v>
      </c>
      <c r="H19" s="341" t="s">
        <v>2008</v>
      </c>
      <c r="I19" s="332" t="s">
        <v>1939</v>
      </c>
    </row>
    <row r="20" spans="2:9" ht="15" customHeight="1">
      <c r="B20" s="332" t="s">
        <v>1714</v>
      </c>
      <c r="C20" s="333">
        <f>C19/3.6*34.13</f>
        <v>142.87197222222221</v>
      </c>
      <c r="D20" s="333">
        <f>D19/3.6*34.13</f>
        <v>2.395306203746516E-2</v>
      </c>
      <c r="E20" s="333">
        <f>E19/3.6*34.13</f>
        <v>1.1320769164488838</v>
      </c>
      <c r="F20" s="340">
        <f>C20*44/12+_xlfn.XLOOKUP(TULEMUSED!$D$4,'AR väärtused'!$B$4,'AR väärtused'!$C$4)*D20/1000+_xlfn.XLOOKUP(TULEMUSED!$D$4,'AR väärtused'!$B$4,'AR väärtused'!$D$4)*E20/1000</f>
        <v>524.2018558958008</v>
      </c>
      <c r="G20" s="335">
        <f t="shared" si="2"/>
        <v>1.887126681224883</v>
      </c>
      <c r="H20" s="336" t="s">
        <v>2009</v>
      </c>
      <c r="I20" s="332" t="s">
        <v>2010</v>
      </c>
    </row>
    <row r="21" spans="2:9" ht="15" customHeight="1">
      <c r="B21" s="323" t="s">
        <v>77</v>
      </c>
      <c r="C21" s="347">
        <v>16.325029874069308</v>
      </c>
      <c r="D21" s="347">
        <v>3.8955431267684117E-3</v>
      </c>
      <c r="E21" s="347">
        <v>0.17531769643960982</v>
      </c>
      <c r="F21" s="340">
        <f>C21*44/12+_xlfn.XLOOKUP(TULEMUSED!$D$4,'AR väärtused'!$B$4,'AR väärtused'!$C$4)*D21/1000+_xlfn.XLOOKUP(TULEMUSED!$D$4,'AR väärtused'!$B$4,'AR väärtused'!$D$4)*E21/1000</f>
        <v>59.910784933704633</v>
      </c>
      <c r="G21" s="344">
        <f t="shared" si="2"/>
        <v>0.21567882576133668</v>
      </c>
      <c r="H21" s="341" t="s">
        <v>2008</v>
      </c>
      <c r="I21" s="332" t="s">
        <v>1941</v>
      </c>
    </row>
    <row r="22" spans="2:9" ht="15" customHeight="1">
      <c r="B22" s="323" t="s">
        <v>1507</v>
      </c>
      <c r="C22" s="347">
        <v>27.823868094815197</v>
      </c>
      <c r="D22" s="347">
        <v>0</v>
      </c>
      <c r="E22" s="347">
        <v>0.82</v>
      </c>
      <c r="F22" s="340">
        <f>C22*44/12+_xlfn.XLOOKUP(TULEMUSED!$D$4,'AR väärtused'!$B$4,'AR väärtused'!$C$4)*D22/1000+_xlfn.XLOOKUP(TULEMUSED!$D$4,'AR väärtused'!$B$4,'AR väärtused'!$D$4)*E22/1000</f>
        <v>102.26520968098905</v>
      </c>
      <c r="G22" s="344">
        <f t="shared" si="2"/>
        <v>0.36815475485156057</v>
      </c>
      <c r="H22" s="341" t="s">
        <v>2008</v>
      </c>
      <c r="I22" s="332" t="s">
        <v>1941</v>
      </c>
    </row>
    <row r="23" spans="2:9" ht="15" customHeight="1">
      <c r="B23" s="323" t="s">
        <v>149</v>
      </c>
      <c r="C23" s="347">
        <v>42.1</v>
      </c>
      <c r="D23" s="347">
        <v>1</v>
      </c>
      <c r="E23" s="347">
        <v>0.1</v>
      </c>
      <c r="F23" s="340">
        <f>C23*44/12+_xlfn.XLOOKUP(TULEMUSED!$D$4,'AR väärtused'!$B$4,'AR väärtused'!$C$4)*D23/1000+_xlfn.XLOOKUP(TULEMUSED!$D$4,'AR väärtused'!$B$4,'AR väärtused'!$D$4)*E23/1000</f>
        <v>154.42146666666667</v>
      </c>
      <c r="G23" s="344">
        <f t="shared" si="2"/>
        <v>0.55591728000000007</v>
      </c>
      <c r="H23" s="341" t="s">
        <v>2008</v>
      </c>
      <c r="I23" s="332" t="s">
        <v>1941</v>
      </c>
    </row>
    <row r="24" spans="2:9" ht="15" customHeight="1">
      <c r="B24" s="323" t="s">
        <v>1945</v>
      </c>
      <c r="C24" s="347">
        <v>18.78</v>
      </c>
      <c r="D24" s="347">
        <v>1</v>
      </c>
      <c r="E24" s="347">
        <v>0.1</v>
      </c>
      <c r="F24" s="340">
        <f>C24*44/12+_xlfn.XLOOKUP(TULEMUSED!$D$4,'AR väärtused'!$B$4,'AR väärtused'!$C$4)*D24/1000+_xlfn.XLOOKUP(TULEMUSED!$D$4,'AR väärtused'!$B$4,'AR väärtused'!$D$4)*E24/1000</f>
        <v>68.9148</v>
      </c>
      <c r="G24" s="344">
        <f t="shared" ref="G24:G36" si="4">F24/(1/0.0036)</f>
        <v>0.24809328</v>
      </c>
      <c r="H24" s="341" t="s">
        <v>2008</v>
      </c>
      <c r="I24" s="332" t="s">
        <v>1941</v>
      </c>
    </row>
    <row r="25" spans="2:9" ht="15" customHeight="1">
      <c r="B25" s="323" t="s">
        <v>150</v>
      </c>
      <c r="C25" s="347">
        <v>47.129509129788232</v>
      </c>
      <c r="D25" s="347">
        <v>1</v>
      </c>
      <c r="E25" s="347">
        <v>0.1</v>
      </c>
      <c r="F25" s="340">
        <f>C25*44/12+_xlfn.XLOOKUP(TULEMUSED!$D$4,'AR väärtused'!$B$4,'AR väärtused'!$C$4)*D25/1000+_xlfn.XLOOKUP(TULEMUSED!$D$4,'AR väärtused'!$B$4,'AR väärtused'!$D$4)*E25/1000</f>
        <v>172.86300014255687</v>
      </c>
      <c r="G25" s="344">
        <f t="shared" si="4"/>
        <v>0.62230680051320475</v>
      </c>
      <c r="H25" s="341" t="s">
        <v>2008</v>
      </c>
      <c r="I25" s="332" t="s">
        <v>1941</v>
      </c>
    </row>
    <row r="26" spans="2:9" ht="15" customHeight="1">
      <c r="B26" s="323" t="s">
        <v>151</v>
      </c>
      <c r="C26" s="347">
        <v>19.579999999999998</v>
      </c>
      <c r="D26" s="347">
        <v>1</v>
      </c>
      <c r="E26" s="347">
        <v>0.1</v>
      </c>
      <c r="F26" s="340">
        <f>C26*44/12+_xlfn.XLOOKUP(TULEMUSED!$D$4,'AR väärtused'!$B$4,'AR väärtused'!$C$4)*D26/1000+_xlfn.XLOOKUP(TULEMUSED!$D$4,'AR väärtused'!$B$4,'AR väärtused'!$D$4)*E26/1000</f>
        <v>71.848133333333337</v>
      </c>
      <c r="G26" s="344">
        <f t="shared" si="4"/>
        <v>0.25865328000000004</v>
      </c>
      <c r="H26" s="341" t="s">
        <v>2008</v>
      </c>
      <c r="I26" s="332" t="s">
        <v>1941</v>
      </c>
    </row>
    <row r="27" spans="2:9" ht="15" customHeight="1">
      <c r="B27" s="323" t="s">
        <v>152</v>
      </c>
      <c r="C27" s="347">
        <v>18.690000000000001</v>
      </c>
      <c r="D27" s="347">
        <v>1</v>
      </c>
      <c r="E27" s="347">
        <v>0.1</v>
      </c>
      <c r="F27" s="340">
        <f>C27*44/12+_xlfn.XLOOKUP(TULEMUSED!$D$4,'AR väärtused'!$B$4,'AR väärtused'!$C$4)*D27/1000+_xlfn.XLOOKUP(TULEMUSED!$D$4,'AR väärtused'!$B$4,'AR väärtused'!$D$4)*E27/1000</f>
        <v>68.584800000000001</v>
      </c>
      <c r="G27" s="344">
        <f t="shared" si="4"/>
        <v>0.24690528</v>
      </c>
      <c r="H27" s="341" t="s">
        <v>2008</v>
      </c>
      <c r="I27" s="332" t="s">
        <v>1941</v>
      </c>
    </row>
    <row r="28" spans="2:9" ht="15" customHeight="1">
      <c r="B28" s="323" t="s">
        <v>153</v>
      </c>
      <c r="C28" s="347">
        <v>18.78</v>
      </c>
      <c r="D28" s="347">
        <v>1</v>
      </c>
      <c r="E28" s="347">
        <v>0.1</v>
      </c>
      <c r="F28" s="340">
        <f>C28*44/12+_xlfn.XLOOKUP(TULEMUSED!$D$4,'AR väärtused'!$B$4,'AR väärtused'!$C$4)*D28/1000+_xlfn.XLOOKUP(TULEMUSED!$D$4,'AR väärtused'!$B$4,'AR väärtused'!$D$4)*E28/1000</f>
        <v>68.9148</v>
      </c>
      <c r="G28" s="344">
        <f t="shared" si="4"/>
        <v>0.24809328</v>
      </c>
      <c r="H28" s="341" t="s">
        <v>2008</v>
      </c>
      <c r="I28" s="332" t="s">
        <v>1941</v>
      </c>
    </row>
    <row r="29" spans="2:9" ht="15" customHeight="1">
      <c r="B29" s="323" t="s">
        <v>154</v>
      </c>
      <c r="C29" s="347">
        <v>18.78</v>
      </c>
      <c r="D29" s="347">
        <v>1</v>
      </c>
      <c r="E29" s="347">
        <v>0.1</v>
      </c>
      <c r="F29" s="340">
        <f>C29*44/12+_xlfn.XLOOKUP(TULEMUSED!$D$4,'AR väärtused'!$B$4,'AR väärtused'!$C$4)*D29/1000+_xlfn.XLOOKUP(TULEMUSED!$D$4,'AR väärtused'!$B$4,'AR väärtused'!$D$4)*E29/1000</f>
        <v>68.9148</v>
      </c>
      <c r="G29" s="344">
        <f t="shared" si="4"/>
        <v>0.24809328</v>
      </c>
      <c r="H29" s="341" t="s">
        <v>2008</v>
      </c>
      <c r="I29" s="332" t="s">
        <v>1941</v>
      </c>
    </row>
    <row r="30" spans="2:9" ht="15" customHeight="1">
      <c r="B30" s="332" t="s">
        <v>1717</v>
      </c>
      <c r="C30" s="333">
        <f>C31/3.6*42.3</f>
        <v>237.34999999999997</v>
      </c>
      <c r="D30" s="333">
        <f t="shared" ref="D30:E30" si="5">D31/3.6*42.3</f>
        <v>3.8860402484988815E-2</v>
      </c>
      <c r="E30" s="333">
        <f t="shared" si="5"/>
        <v>2.0326641943033388</v>
      </c>
      <c r="F30" s="340">
        <f>C30*44/12+_xlfn.XLOOKUP(TULEMUSED!$D$4,'AR väärtused'!$B$4,'AR väärtused'!$C$4)*D30/1000+_xlfn.XLOOKUP(TULEMUSED!$D$4,'AR väärtused'!$B$4,'AR väärtused'!$D$4)*E30/1000</f>
        <v>870.89003877329765</v>
      </c>
      <c r="G30" s="335">
        <f>F30/(1/0.0036)</f>
        <v>3.1352041395838715</v>
      </c>
      <c r="H30" s="336" t="s">
        <v>2007</v>
      </c>
      <c r="I30" s="332" t="s">
        <v>1946</v>
      </c>
    </row>
    <row r="31" spans="2:9" ht="15" customHeight="1">
      <c r="B31" s="332" t="s">
        <v>155</v>
      </c>
      <c r="C31" s="347">
        <v>20.2</v>
      </c>
      <c r="D31" s="347">
        <v>3.3072682965947929E-3</v>
      </c>
      <c r="E31" s="347">
        <v>0.17299269738751821</v>
      </c>
      <c r="F31" s="340">
        <f>C31*44/12+_xlfn.XLOOKUP(TULEMUSED!$D$4,'AR väärtused'!$B$4,'AR väärtused'!$C$4)*D31/1000+_xlfn.XLOOKUP(TULEMUSED!$D$4,'AR väärtused'!$B$4,'AR väärtused'!$D$4)*E31/1000</f>
        <v>74.118301172195558</v>
      </c>
      <c r="G31" s="344">
        <f t="shared" si="4"/>
        <v>0.266825884219904</v>
      </c>
      <c r="H31" s="341" t="s">
        <v>2008</v>
      </c>
      <c r="I31" s="332" t="s">
        <v>1939</v>
      </c>
    </row>
    <row r="32" spans="2:9" ht="15" customHeight="1">
      <c r="B32" s="332" t="s">
        <v>1718</v>
      </c>
      <c r="C32" s="333">
        <f>C33/3.6*39.22</f>
        <v>229.8727777777778</v>
      </c>
      <c r="D32" s="333">
        <f t="shared" ref="D32:E32" si="6">D33/3.6*39.22</f>
        <v>3.603085072012438E-2</v>
      </c>
      <c r="E32" s="333">
        <f t="shared" si="6"/>
        <v>1.8846593309829065</v>
      </c>
      <c r="F32" s="340">
        <f>C32*44/12+_xlfn.XLOOKUP(TULEMUSED!$D$4,'AR väärtused'!$B$4,'AR väärtused'!$C$4)*D32/1000+_xlfn.XLOOKUP(TULEMUSED!$D$4,'AR väärtused'!$B$4,'AR väärtused'!$D$4)*E32/1000</f>
        <v>843.4293811037528</v>
      </c>
      <c r="G32" s="335">
        <f>F32/(1/0.0036)</f>
        <v>3.0363457719735103</v>
      </c>
      <c r="H32" s="336" t="s">
        <v>2007</v>
      </c>
      <c r="I32" s="332" t="s">
        <v>1947</v>
      </c>
    </row>
    <row r="33" spans="2:9" ht="15" customHeight="1">
      <c r="B33" s="332" t="s">
        <v>156</v>
      </c>
      <c r="C33" s="347">
        <v>21.1</v>
      </c>
      <c r="D33" s="347">
        <v>3.3072682965947929E-3</v>
      </c>
      <c r="E33" s="347">
        <v>0.17299269738751821</v>
      </c>
      <c r="F33" s="340">
        <f>C33*44/12+_xlfn.XLOOKUP(TULEMUSED!$D$4,'AR väärtused'!$B$4,'AR väärtused'!$C$4)*D33/1000+_xlfn.XLOOKUP(TULEMUSED!$D$4,'AR väärtused'!$B$4,'AR väärtused'!$D$4)*E33/1000</f>
        <v>77.418301172195569</v>
      </c>
      <c r="G33" s="344">
        <f t="shared" si="4"/>
        <v>0.27870588421990405</v>
      </c>
      <c r="H33" s="341" t="s">
        <v>2008</v>
      </c>
      <c r="I33" s="332" t="s">
        <v>1939</v>
      </c>
    </row>
    <row r="34" spans="2:9" ht="15" customHeight="1">
      <c r="B34" s="323" t="s">
        <v>157</v>
      </c>
      <c r="C34" s="333">
        <v>0</v>
      </c>
      <c r="D34" s="333">
        <v>0</v>
      </c>
      <c r="E34" s="333">
        <v>0</v>
      </c>
      <c r="F34" s="340">
        <f>C34*44/12+_xlfn.XLOOKUP(TULEMUSED!$D$4,'AR väärtused'!$B$4,'AR väärtused'!$C$4)*D34/1000+_xlfn.XLOOKUP(TULEMUSED!$D$4,'AR väärtused'!$B$4,'AR väärtused'!$D$4)*E34/1000</f>
        <v>0</v>
      </c>
      <c r="G34" s="344">
        <f t="shared" si="4"/>
        <v>0</v>
      </c>
      <c r="H34" s="341" t="s">
        <v>2008</v>
      </c>
      <c r="I34" s="323" t="s">
        <v>146</v>
      </c>
    </row>
    <row r="35" spans="2:9" ht="15" customHeight="1">
      <c r="B35" s="332" t="s">
        <v>1719</v>
      </c>
      <c r="C35" s="333">
        <f>C36/3.6*40.15</f>
        <v>231.31190566281737</v>
      </c>
      <c r="D35" s="333">
        <f t="shared" ref="D35:E35" si="7">D36/3.6*40.15</f>
        <v>3.688522836341137E-2</v>
      </c>
      <c r="E35" s="333">
        <f t="shared" si="7"/>
        <v>1.9293491111413488</v>
      </c>
      <c r="F35" s="340">
        <f>C35*44/12+_xlfn.XLOOKUP(TULEMUSED!$D$4,'AR väärtused'!$B$4,'AR väärtused'!$C$4)*D35/1000+_xlfn.XLOOKUP(TULEMUSED!$D$4,'AR väärtused'!$B$4,'AR väärtused'!$D$4)*E35/1000</f>
        <v>848.71952226282622</v>
      </c>
      <c r="G35" s="335">
        <f>F35/(1/0.0036)</f>
        <v>3.0553902801461743</v>
      </c>
      <c r="H35" s="336" t="s">
        <v>2007</v>
      </c>
      <c r="I35" s="332" t="s">
        <v>1948</v>
      </c>
    </row>
    <row r="36" spans="2:9" ht="15" customHeight="1">
      <c r="B36" s="332" t="s">
        <v>158</v>
      </c>
      <c r="C36" s="343">
        <v>20.74029540189645</v>
      </c>
      <c r="D36" s="347">
        <v>3.3072682965947929E-3</v>
      </c>
      <c r="E36" s="347">
        <v>0.17299269738751821</v>
      </c>
      <c r="F36" s="340">
        <f>C36*44/12+_xlfn.XLOOKUP(TULEMUSED!$D$4,'AR väärtused'!$B$4,'AR väärtused'!$C$4)*D36/1000+_xlfn.XLOOKUP(TULEMUSED!$D$4,'AR väärtused'!$B$4,'AR väärtused'!$D$4)*E36/1000</f>
        <v>76.099384312482542</v>
      </c>
      <c r="G36" s="344">
        <f t="shared" si="4"/>
        <v>0.27395778352493716</v>
      </c>
      <c r="H36" s="341" t="s">
        <v>2008</v>
      </c>
      <c r="I36" s="332" t="s">
        <v>1939</v>
      </c>
    </row>
    <row r="37" spans="2:9" ht="15" customHeight="1">
      <c r="B37" s="323" t="s">
        <v>159</v>
      </c>
      <c r="C37" s="333">
        <v>0</v>
      </c>
      <c r="D37" s="333">
        <v>0</v>
      </c>
      <c r="E37" s="333">
        <v>0</v>
      </c>
      <c r="F37" s="340">
        <f>C37*44/12+_xlfn.XLOOKUP(TULEMUSED!$D$4,'AR väärtused'!$B$4,'AR väärtused'!$C$4)*D37/1000+_xlfn.XLOOKUP(TULEMUSED!$D$4,'AR väärtused'!$B$4,'AR väärtused'!$D$4)*E37/1000</f>
        <v>0</v>
      </c>
      <c r="G37" s="344">
        <f t="shared" ref="G37" si="8">F37/(1/0.0036)</f>
        <v>0</v>
      </c>
      <c r="H37" s="341" t="s">
        <v>2008</v>
      </c>
      <c r="I37" s="332" t="s">
        <v>160</v>
      </c>
    </row>
    <row r="38" spans="2:9" ht="15" customHeight="1">
      <c r="B38" s="323" t="s">
        <v>161</v>
      </c>
      <c r="C38" s="333">
        <f>C39/3.6*16</f>
        <v>117.55555555555554</v>
      </c>
      <c r="D38" s="333">
        <f t="shared" ref="D38:E38" si="9">D39/3.6*16</f>
        <v>7.6458684399419337</v>
      </c>
      <c r="E38" s="333">
        <f t="shared" si="9"/>
        <v>10.898172356955074</v>
      </c>
      <c r="F38" s="340">
        <f>C38*44/12+_xlfn.XLOOKUP(TULEMUSED!$D$4,'AR väärtused'!$B$4,'AR väärtused'!$C$4)*D38/1000+_xlfn.XLOOKUP(TULEMUSED!$D$4,'AR väärtused'!$B$4,'AR väärtused'!$D$4)*E38/1000</f>
        <v>434.47583911040812</v>
      </c>
      <c r="G38" s="335">
        <f>F38/(1/0.0036)</f>
        <v>1.5641130207974692</v>
      </c>
      <c r="H38" s="336" t="s">
        <v>2007</v>
      </c>
      <c r="I38" s="332" t="s">
        <v>1949</v>
      </c>
    </row>
    <row r="39" spans="2:9" ht="15" customHeight="1">
      <c r="B39" s="323" t="s">
        <v>162</v>
      </c>
      <c r="C39" s="347">
        <v>26.45</v>
      </c>
      <c r="D39" s="347">
        <v>1.7203203989869351</v>
      </c>
      <c r="E39" s="347">
        <v>2.4520887803148916</v>
      </c>
      <c r="F39" s="340">
        <f>C39*44/12+_xlfn.XLOOKUP(TULEMUSED!$D$4,'AR väärtused'!$B$4,'AR väärtused'!$C$4)*D39/1000+_xlfn.XLOOKUP(TULEMUSED!$D$4,'AR väärtused'!$B$4,'AR väärtused'!$D$4)*E39/1000</f>
        <v>97.757063799841845</v>
      </c>
      <c r="G39" s="344">
        <f t="shared" ref="G39:G42" si="10">F39/(1/0.0036)</f>
        <v>0.35192542967943063</v>
      </c>
      <c r="H39" s="341" t="s">
        <v>2008</v>
      </c>
      <c r="I39" s="332" t="s">
        <v>1939</v>
      </c>
    </row>
    <row r="40" spans="2:9" ht="15" customHeight="1">
      <c r="B40" s="323" t="s">
        <v>163</v>
      </c>
      <c r="C40" s="333">
        <v>0</v>
      </c>
      <c r="D40" s="333">
        <v>0</v>
      </c>
      <c r="E40" s="333">
        <v>0</v>
      </c>
      <c r="F40" s="340">
        <f>C40*44/12+_xlfn.XLOOKUP(TULEMUSED!$D$4,'AR väärtused'!$B$4,'AR väärtused'!$C$4)*D40/1000+_xlfn.XLOOKUP(TULEMUSED!$D$4,'AR väärtused'!$B$4,'AR väärtused'!$D$4)*E40/1000</f>
        <v>0</v>
      </c>
      <c r="G40" s="344">
        <f t="shared" si="10"/>
        <v>0</v>
      </c>
      <c r="H40" s="341" t="s">
        <v>2008</v>
      </c>
      <c r="I40" s="323" t="s">
        <v>146</v>
      </c>
    </row>
    <row r="41" spans="2:9" ht="15" customHeight="1">
      <c r="B41" s="323" t="s">
        <v>164</v>
      </c>
      <c r="C41" s="333">
        <v>0</v>
      </c>
      <c r="D41" s="333">
        <v>0</v>
      </c>
      <c r="E41" s="333">
        <v>0</v>
      </c>
      <c r="F41" s="340">
        <f>C41*44/12+_xlfn.XLOOKUP(TULEMUSED!$D$4,'AR väärtused'!$B$4,'AR väärtused'!$C$4)*D41/1000+_xlfn.XLOOKUP(TULEMUSED!$D$4,'AR väärtused'!$B$4,'AR väärtused'!$D$4)*E41/1000</f>
        <v>0</v>
      </c>
      <c r="G41" s="344">
        <f t="shared" si="10"/>
        <v>0</v>
      </c>
      <c r="H41" s="341" t="s">
        <v>2008</v>
      </c>
      <c r="I41" s="332" t="s">
        <v>165</v>
      </c>
    </row>
    <row r="42" spans="2:9" ht="15" customHeight="1">
      <c r="B42" s="323" t="s">
        <v>166</v>
      </c>
      <c r="C42" s="347">
        <v>27.82</v>
      </c>
      <c r="D42" s="347">
        <v>1.7203203989869351</v>
      </c>
      <c r="E42" s="347">
        <v>2.4520887803148916</v>
      </c>
      <c r="F42" s="340">
        <f>C42*44/12+_xlfn.XLOOKUP(TULEMUSED!$D$4,'AR väärtused'!$B$4,'AR väärtused'!$C$4)*D42/1000+_xlfn.XLOOKUP(TULEMUSED!$D$4,'AR väärtused'!$B$4,'AR väärtused'!$D$4)*E42/1000</f>
        <v>102.78039713317517</v>
      </c>
      <c r="G42" s="344">
        <f t="shared" si="10"/>
        <v>0.37000942967943062</v>
      </c>
      <c r="H42" s="341" t="s">
        <v>2008</v>
      </c>
      <c r="I42" s="332" t="s">
        <v>1939</v>
      </c>
    </row>
    <row r="43" spans="2:9" ht="15" customHeight="1">
      <c r="B43" s="323" t="s">
        <v>167</v>
      </c>
      <c r="C43" s="343">
        <v>15.07</v>
      </c>
      <c r="D43" s="343">
        <v>2.5265462447956219E-3</v>
      </c>
      <c r="E43" s="343">
        <v>0.11941039845344217</v>
      </c>
      <c r="F43" s="340">
        <f>C43*44/12+_xlfn.XLOOKUP(TULEMUSED!$D$4,'AR väärtused'!$B$4,'AR väärtused'!$C$4)*D43/1000+_xlfn.XLOOKUP(TULEMUSED!$D$4,'AR väärtused'!$B$4,'AR väärtused'!$D$4)*E43/1000</f>
        <v>55.292314129061914</v>
      </c>
      <c r="G43" s="344">
        <f>F43/(1/0.0036)</f>
        <v>0.1990523308646229</v>
      </c>
      <c r="H43" s="341" t="s">
        <v>2008</v>
      </c>
      <c r="I43" s="332" t="s">
        <v>1939</v>
      </c>
    </row>
    <row r="44" spans="2:9" ht="15" customHeight="1">
      <c r="B44" s="323" t="s">
        <v>168</v>
      </c>
      <c r="C44" s="347">
        <v>17.386077999121692</v>
      </c>
      <c r="D44" s="347">
        <v>1</v>
      </c>
      <c r="E44" s="347">
        <v>0.1</v>
      </c>
      <c r="F44" s="340">
        <f>C44*44/12+_xlfn.XLOOKUP(TULEMUSED!$D$4,'AR väärtused'!$B$4,'AR väärtused'!$C$4)*D44/1000+_xlfn.XLOOKUP(TULEMUSED!$D$4,'AR väärtused'!$B$4,'AR väärtused'!$D$4)*E44/1000</f>
        <v>63.803752663446204</v>
      </c>
      <c r="G44" s="344">
        <f>F44/(1/0.0036)</f>
        <v>0.22969350958840634</v>
      </c>
      <c r="H44" s="341" t="s">
        <v>2008</v>
      </c>
      <c r="I44" s="332" t="s">
        <v>1941</v>
      </c>
    </row>
    <row r="46" spans="2:9" ht="15" customHeight="1">
      <c r="B46" s="794" t="s">
        <v>79</v>
      </c>
      <c r="C46" s="495" t="s">
        <v>1937</v>
      </c>
      <c r="D46" s="495" t="s">
        <v>2145</v>
      </c>
      <c r="E46" s="495" t="s">
        <v>2146</v>
      </c>
      <c r="F46" s="495" t="s">
        <v>2147</v>
      </c>
      <c r="G46" s="495" t="s">
        <v>1938</v>
      </c>
      <c r="H46" s="504" t="s">
        <v>81</v>
      </c>
      <c r="I46" s="504" t="s">
        <v>142</v>
      </c>
    </row>
    <row r="47" spans="2:9" ht="15" customHeight="1">
      <c r="B47" s="323" t="s">
        <v>1516</v>
      </c>
      <c r="C47" s="333">
        <f>C48/3.6*11.9</f>
        <v>100.96969696969697</v>
      </c>
      <c r="D47" s="333">
        <f t="shared" ref="D47:E47" si="11">D48/3.6*11.9</f>
        <v>0</v>
      </c>
      <c r="E47" s="333">
        <f t="shared" si="11"/>
        <v>0</v>
      </c>
      <c r="F47" s="340">
        <f>C47*44/12+_xlfn.XLOOKUP(TULEMUSED!$D$4,'AR väärtused'!$B$4,'AR väärtused'!$C$4)*D47/1000+_xlfn.XLOOKUP(TULEMUSED!$D$4,'AR väärtused'!$B$4,'AR väärtused'!$D$4)*E47/1000</f>
        <v>370.22222222222223</v>
      </c>
      <c r="G47" s="335">
        <f>F47/(1/0.0036)</f>
        <v>1.3328</v>
      </c>
      <c r="H47" s="350" t="s">
        <v>2012</v>
      </c>
      <c r="I47" s="332" t="s">
        <v>1807</v>
      </c>
    </row>
    <row r="48" spans="2:9" ht="15" customHeight="1">
      <c r="B48" s="323" t="s">
        <v>1517</v>
      </c>
      <c r="C48" s="351">
        <v>30.545454545454547</v>
      </c>
      <c r="D48" s="351">
        <v>0</v>
      </c>
      <c r="E48" s="351">
        <v>0</v>
      </c>
      <c r="F48" s="340">
        <f>C48*44/12+_xlfn.XLOOKUP(TULEMUSED!$D$4,'AR väärtused'!$B$4,'AR väärtused'!$C$4)*D48/1000+_xlfn.XLOOKUP(TULEMUSED!$D$4,'AR väärtused'!$B$4,'AR väärtused'!$D$4)*E48/1000</f>
        <v>112</v>
      </c>
      <c r="G48" s="344">
        <f t="shared" ref="G48" si="12">F48/(1/0.0036)</f>
        <v>0.4032</v>
      </c>
      <c r="H48" s="350" t="s">
        <v>2013</v>
      </c>
      <c r="I48" s="332" t="s">
        <v>1941</v>
      </c>
    </row>
    <row r="49" spans="2:9" ht="15" customHeight="1">
      <c r="B49" s="323" t="s">
        <v>143</v>
      </c>
      <c r="C49" s="339">
        <v>14.889999999999997</v>
      </c>
      <c r="D49" s="343">
        <v>0</v>
      </c>
      <c r="E49" s="343">
        <v>0</v>
      </c>
      <c r="F49" s="340">
        <f>C49*44/12+_xlfn.XLOOKUP(TULEMUSED!$D$4,'AR väärtused'!$B$4,'AR väärtused'!$C$4)*D49/1000+_xlfn.XLOOKUP(TULEMUSED!$D$4,'AR väärtused'!$B$4,'AR väärtused'!$D$4)*E49/1000</f>
        <v>54.596666666666657</v>
      </c>
      <c r="G49" s="344">
        <f>F49/(1/0.0036)</f>
        <v>0.19654799999999997</v>
      </c>
      <c r="H49" s="350" t="s">
        <v>2013</v>
      </c>
      <c r="I49" s="332" t="s">
        <v>1941</v>
      </c>
    </row>
    <row r="50" spans="2:9" ht="15" customHeight="1">
      <c r="B50" s="323" t="s">
        <v>1685</v>
      </c>
      <c r="C50" s="333">
        <f>C49/3.6*34.13</f>
        <v>141.16547222222221</v>
      </c>
      <c r="D50" s="333">
        <f>D49/3.6*34.13</f>
        <v>0</v>
      </c>
      <c r="E50" s="333">
        <f>E49/3.6*34.13</f>
        <v>0</v>
      </c>
      <c r="F50" s="340">
        <f>C50*44/12+_xlfn.XLOOKUP(TULEMUSED!$D$4,'AR väärtused'!$B$4,'AR väärtused'!$C$4)*D50/1000+_xlfn.XLOOKUP(TULEMUSED!$D$4,'AR väärtused'!$B$4,'AR väärtused'!$D$4)*E50/1000</f>
        <v>517.60673148148146</v>
      </c>
      <c r="G50" s="335">
        <f>F50/(1/0.0036)</f>
        <v>1.8633842333333333</v>
      </c>
      <c r="H50" s="350" t="s">
        <v>2014</v>
      </c>
      <c r="I50" s="332" t="s">
        <v>2015</v>
      </c>
    </row>
    <row r="51" spans="2:9" ht="15" customHeight="1">
      <c r="B51" s="352"/>
      <c r="C51" s="353"/>
      <c r="D51" s="353"/>
      <c r="E51" s="353"/>
      <c r="F51" s="353"/>
      <c r="G51" s="353"/>
      <c r="H51" s="354"/>
      <c r="I51" s="355"/>
    </row>
    <row r="52" spans="2:9" ht="15" customHeight="1">
      <c r="B52" s="826" t="s">
        <v>2151</v>
      </c>
    </row>
    <row r="53" spans="2:9" ht="15" customHeight="1">
      <c r="B53" s="320" t="s">
        <v>2263</v>
      </c>
      <c r="C53" s="328"/>
      <c r="D53" s="328"/>
      <c r="E53" s="328"/>
      <c r="F53" s="328"/>
      <c r="G53" s="328"/>
      <c r="H53" s="329"/>
      <c r="I53" s="780"/>
    </row>
    <row r="54" spans="2:9" ht="15" customHeight="1">
      <c r="B54" s="356" t="s">
        <v>79</v>
      </c>
      <c r="C54" s="331" t="s">
        <v>1937</v>
      </c>
      <c r="D54" s="331" t="s">
        <v>2145</v>
      </c>
      <c r="E54" s="331" t="s">
        <v>2146</v>
      </c>
      <c r="F54" s="331" t="s">
        <v>2147</v>
      </c>
      <c r="G54" s="331" t="s">
        <v>1938</v>
      </c>
      <c r="H54" s="331" t="s">
        <v>81</v>
      </c>
      <c r="I54" s="356" t="s">
        <v>142</v>
      </c>
    </row>
    <row r="55" spans="2:9" ht="15" customHeight="1">
      <c r="B55" s="323" t="s">
        <v>1653</v>
      </c>
      <c r="C55" s="347">
        <v>19.221442273458681</v>
      </c>
      <c r="D55" s="347">
        <v>9.6811991232488452</v>
      </c>
      <c r="E55" s="347">
        <v>0.9370027758037881</v>
      </c>
      <c r="F55" s="340">
        <f>C55*44/12+_xlfn.XLOOKUP(TULEMUSED!$D$4,'AR väärtused'!$B$4,'AR väärtused'!$C$4)*D55/1000+_xlfn.XLOOKUP(TULEMUSED!$D$4,'AR väärtused'!$B$4,'AR väärtused'!$D$4)*E55/1000</f>
        <v>70.999878474619251</v>
      </c>
      <c r="G55" s="344">
        <f>F55/(1/0.0036)</f>
        <v>0.25559956250862931</v>
      </c>
      <c r="H55" s="341" t="s">
        <v>2008</v>
      </c>
      <c r="I55" s="323" t="s">
        <v>1941</v>
      </c>
    </row>
    <row r="56" spans="2:9" ht="15" customHeight="1">
      <c r="B56" s="323" t="s">
        <v>1654</v>
      </c>
      <c r="C56" s="347">
        <v>1.1443213296398893</v>
      </c>
      <c r="D56" s="347">
        <v>3</v>
      </c>
      <c r="E56" s="347">
        <v>0.6</v>
      </c>
      <c r="F56" s="340">
        <f>C56*44/12+_xlfn.XLOOKUP(TULEMUSED!$D$4,'AR väärtused'!$B$4,'AR väärtused'!$C$4)*D56/1000+_xlfn.XLOOKUP(TULEMUSED!$D$4,'AR väärtused'!$B$4,'AR väärtused'!$D$4)*E56/1000</f>
        <v>4.4496448753462605</v>
      </c>
      <c r="G56" s="344">
        <f>F56/(1/0.0036)</f>
        <v>1.6018721551246538E-2</v>
      </c>
      <c r="H56" s="341" t="s">
        <v>2008</v>
      </c>
      <c r="I56" s="323" t="s">
        <v>1941</v>
      </c>
    </row>
    <row r="57" spans="2:9" ht="15" customHeight="1">
      <c r="B57" s="323" t="s">
        <v>1655</v>
      </c>
      <c r="C57" s="358"/>
      <c r="D57" s="358"/>
      <c r="E57" s="358"/>
      <c r="F57" s="358"/>
      <c r="G57" s="359">
        <v>3.5000000000000003E-2</v>
      </c>
      <c r="H57" s="341" t="s">
        <v>2008</v>
      </c>
      <c r="I57" s="323" t="s">
        <v>315</v>
      </c>
    </row>
    <row r="58" spans="2:9" ht="15" customHeight="1">
      <c r="B58" s="323" t="s">
        <v>1656</v>
      </c>
      <c r="C58" s="358"/>
      <c r="D58" s="358"/>
      <c r="E58" s="358"/>
      <c r="F58" s="358"/>
      <c r="G58" s="359">
        <v>0.16800000000000001</v>
      </c>
      <c r="H58" s="341" t="s">
        <v>2008</v>
      </c>
      <c r="I58" s="323" t="s">
        <v>315</v>
      </c>
    </row>
    <row r="59" spans="2:9" ht="15" customHeight="1">
      <c r="B59" s="360" t="s">
        <v>1657</v>
      </c>
      <c r="C59" s="347">
        <v>19.940410120683477</v>
      </c>
      <c r="D59" s="347">
        <v>0.99443924543688622</v>
      </c>
      <c r="E59" s="347">
        <v>2.9807493348803971</v>
      </c>
      <c r="F59" s="340">
        <f>C59*44/12+_xlfn.XLOOKUP(TULEMUSED!$D$4,'AR väärtused'!$B$4,'AR väärtused'!$C$4)*D59/1000+_xlfn.XLOOKUP(TULEMUSED!$D$4,'AR väärtused'!$B$4,'AR väärtused'!$D$4)*E59/1000</f>
        <v>74.027961392103023</v>
      </c>
      <c r="G59" s="344">
        <f>F59/(1/0.0036)</f>
        <v>0.26650066101157088</v>
      </c>
      <c r="H59" s="341" t="s">
        <v>2008</v>
      </c>
      <c r="I59" s="323" t="s">
        <v>1941</v>
      </c>
    </row>
    <row r="60" spans="2:9" ht="15" customHeight="1">
      <c r="B60" s="360" t="s">
        <v>1658</v>
      </c>
      <c r="C60" s="343">
        <v>0</v>
      </c>
      <c r="D60" s="343">
        <v>9.9410420480302548</v>
      </c>
      <c r="E60" s="343">
        <v>0.12438533235569921</v>
      </c>
      <c r="F60" s="340">
        <f>C60*44/12+_xlfn.XLOOKUP(TULEMUSED!$D$4,'AR väärtused'!$B$4,'AR väärtused'!$C$4)*D60/1000+_xlfn.XLOOKUP(TULEMUSED!$D$4,'AR väärtused'!$B$4,'AR väärtused'!$D$4)*E60/1000</f>
        <v>0.28559288024275475</v>
      </c>
      <c r="G60" s="344">
        <f>F60/(1/0.0036)</f>
        <v>1.0281343688739171E-3</v>
      </c>
      <c r="H60" s="341" t="s">
        <v>2008</v>
      </c>
      <c r="I60" s="323" t="s">
        <v>1941</v>
      </c>
    </row>
    <row r="61" spans="2:9" ht="15" customHeight="1">
      <c r="B61" s="323" t="s">
        <v>1659</v>
      </c>
      <c r="C61" s="343">
        <v>15.07</v>
      </c>
      <c r="D61" s="343">
        <v>9.9410420480302548</v>
      </c>
      <c r="E61" s="343">
        <v>0.12438533235569921</v>
      </c>
      <c r="F61" s="340">
        <f>C61*44/12+_xlfn.XLOOKUP(TULEMUSED!$D$4,'AR väärtused'!$B$4,'AR väärtused'!$C$4)*D61/1000+_xlfn.XLOOKUP(TULEMUSED!$D$4,'AR väärtused'!$B$4,'AR väärtused'!$D$4)*E61/1000</f>
        <v>55.54225954690942</v>
      </c>
      <c r="G61" s="344">
        <f>F61/(1/0.0036)</f>
        <v>0.19995213436887391</v>
      </c>
      <c r="H61" s="341" t="s">
        <v>2008</v>
      </c>
      <c r="I61" s="323" t="s">
        <v>1941</v>
      </c>
    </row>
    <row r="62" spans="2:9" ht="15" customHeight="1">
      <c r="B62" s="360" t="s">
        <v>1660</v>
      </c>
      <c r="C62" s="343">
        <v>17.386077999121692</v>
      </c>
      <c r="D62" s="343">
        <v>10.531809796248897</v>
      </c>
      <c r="E62" s="343">
        <v>1.3113035391686187</v>
      </c>
      <c r="F62" s="340">
        <f>C62*44/12+_xlfn.XLOOKUP(TULEMUSED!$D$4,'AR väärtused'!$B$4,'AR väärtused'!$C$4)*D62/1000+_xlfn.XLOOKUP(TULEMUSED!$D$4,'AR väärtused'!$B$4,'AR väärtused'!$D$4)*E62/1000</f>
        <v>64.403016363024676</v>
      </c>
      <c r="G62" s="344">
        <f>F62/(1/0.0036)</f>
        <v>0.23185085890688883</v>
      </c>
      <c r="H62" s="341" t="s">
        <v>2008</v>
      </c>
      <c r="I62" s="323" t="s">
        <v>1941</v>
      </c>
    </row>
    <row r="63" spans="2:9" ht="15" customHeight="1">
      <c r="B63" s="332" t="s">
        <v>316</v>
      </c>
      <c r="C63" s="343">
        <v>19.940410120683477</v>
      </c>
      <c r="D63" s="343">
        <v>4.1500000000000004</v>
      </c>
      <c r="E63" s="343">
        <v>28.6</v>
      </c>
      <c r="F63" s="340">
        <f>C63*44/12+_xlfn.XLOOKUP(TULEMUSED!$D$4,'AR väärtused'!$B$4,'AR väärtused'!$C$4)*D63/1000+_xlfn.XLOOKUP(TULEMUSED!$D$4,'AR väärtused'!$B$4,'AR väärtused'!$D$4)*E63/1000</f>
        <v>81.741387109172763</v>
      </c>
      <c r="G63" s="344">
        <f>F63/(1/0.0036)</f>
        <v>0.29426899359302194</v>
      </c>
      <c r="H63" s="341" t="s">
        <v>2008</v>
      </c>
      <c r="I63" s="323" t="s">
        <v>1941</v>
      </c>
    </row>
    <row r="64" spans="2:9" ht="15" customHeight="1">
      <c r="B64" s="323" t="s">
        <v>1649</v>
      </c>
      <c r="C64" s="343">
        <v>19.940410120683477</v>
      </c>
      <c r="D64" s="343">
        <v>7</v>
      </c>
      <c r="E64" s="343">
        <v>2</v>
      </c>
      <c r="F64" s="340">
        <f>C64*44/12+_xlfn.XLOOKUP(TULEMUSED!$D$4,'AR väärtused'!$B$4,'AR väärtused'!$C$4)*D64/1000+_xlfn.XLOOKUP(TULEMUSED!$D$4,'AR väärtused'!$B$4,'AR väärtused'!$D$4)*E64/1000</f>
        <v>73.885837109172755</v>
      </c>
      <c r="G64" s="344">
        <f t="shared" ref="G64" si="13">F64/(1/0.0036)</f>
        <v>0.26598901359302191</v>
      </c>
      <c r="H64" s="341" t="s">
        <v>2008</v>
      </c>
      <c r="I64" s="323" t="s">
        <v>1941</v>
      </c>
    </row>
    <row r="65" spans="2:9" ht="15" customHeight="1">
      <c r="B65" s="323" t="s">
        <v>1650</v>
      </c>
      <c r="C65" s="358"/>
      <c r="D65" s="358"/>
      <c r="E65" s="358"/>
      <c r="F65" s="340"/>
      <c r="G65" s="344">
        <v>2.2509999999999999</v>
      </c>
      <c r="H65" s="341" t="s">
        <v>2008</v>
      </c>
      <c r="I65" s="323" t="s">
        <v>317</v>
      </c>
    </row>
    <row r="66" spans="2:9" ht="15" customHeight="1">
      <c r="B66" s="323" t="s">
        <v>1651</v>
      </c>
      <c r="C66" s="343">
        <v>19.333872670039149</v>
      </c>
      <c r="D66" s="343">
        <v>1.2769085880946307</v>
      </c>
      <c r="E66" s="343">
        <v>2.0000000000000004</v>
      </c>
      <c r="F66" s="340">
        <f>C66*44/12+_xlfn.XLOOKUP(TULEMUSED!$D$4,'AR väärtused'!$B$4,'AR väärtused'!$C$4)*D66/1000+_xlfn.XLOOKUP(TULEMUSED!$D$4,'AR väärtused'!$B$4,'AR väärtused'!$D$4)*E66/1000</f>
        <v>71.51878917151258</v>
      </c>
      <c r="G66" s="344">
        <f>F66/(1/0.0036)</f>
        <v>0.25746764101744529</v>
      </c>
      <c r="H66" s="341" t="s">
        <v>2008</v>
      </c>
      <c r="I66" s="323" t="s">
        <v>1941</v>
      </c>
    </row>
    <row r="67" spans="2:9" ht="15" customHeight="1">
      <c r="B67" s="356" t="s">
        <v>79</v>
      </c>
      <c r="C67" s="331" t="s">
        <v>1937</v>
      </c>
      <c r="D67" s="331" t="s">
        <v>2145</v>
      </c>
      <c r="E67" s="331" t="s">
        <v>2146</v>
      </c>
      <c r="F67" s="331" t="s">
        <v>2147</v>
      </c>
      <c r="G67" s="331" t="s">
        <v>1938</v>
      </c>
      <c r="H67" s="331" t="s">
        <v>81</v>
      </c>
      <c r="I67" s="356" t="s">
        <v>142</v>
      </c>
    </row>
    <row r="68" spans="2:9" ht="15" customHeight="1">
      <c r="B68" s="323" t="s">
        <v>1653</v>
      </c>
      <c r="C68" s="333">
        <f>C55/3.6*31.82</f>
        <v>169.89619253929311</v>
      </c>
      <c r="D68" s="333">
        <f t="shared" ref="D68:E68" si="14">D55/3.6*31.82</f>
        <v>85.571043361605078</v>
      </c>
      <c r="E68" s="333">
        <f t="shared" si="14"/>
        <v>8.2820634239101487</v>
      </c>
      <c r="F68" s="340">
        <f>C68*44/12+_xlfn.XLOOKUP(TULEMUSED!$D$4,'AR väärtused'!$B$4,'AR väärtused'!$C$4)*D68/1000+_xlfn.XLOOKUP(TULEMUSED!$D$4,'AR väärtused'!$B$4,'AR väärtused'!$D$4)*E68/1000</f>
        <v>627.56003696177345</v>
      </c>
      <c r="G68" s="335">
        <f>F68/(1/0.0036)</f>
        <v>2.2592161330623846</v>
      </c>
      <c r="H68" s="324" t="s">
        <v>2011</v>
      </c>
      <c r="I68" s="323" t="s">
        <v>1950</v>
      </c>
    </row>
    <row r="69" spans="2:9" ht="15" customHeight="1">
      <c r="B69" s="323" t="s">
        <v>1654</v>
      </c>
      <c r="C69" s="333">
        <f>C56/3.6*31.91</f>
        <v>10.143137119113574</v>
      </c>
      <c r="D69" s="333">
        <f t="shared" ref="D69:E69" si="15">D56/3.6*31.91</f>
        <v>26.591666666666665</v>
      </c>
      <c r="E69" s="333">
        <f t="shared" si="15"/>
        <v>5.3183333333333334</v>
      </c>
      <c r="F69" s="340">
        <f>C69*44/12+_xlfn.XLOOKUP(TULEMUSED!$D$4,'AR väärtused'!$B$4,'AR väärtused'!$C$4)*D69/1000+_xlfn.XLOOKUP(TULEMUSED!$D$4,'AR väärtused'!$B$4,'AR väärtused'!$D$4)*E69/1000</f>
        <v>39.441157770083102</v>
      </c>
      <c r="G69" s="335">
        <f>F69/(1/0.0036)</f>
        <v>0.14198816797229916</v>
      </c>
      <c r="H69" s="324" t="s">
        <v>2011</v>
      </c>
      <c r="I69" s="323" t="s">
        <v>1951</v>
      </c>
    </row>
    <row r="70" spans="2:9" ht="15" customHeight="1">
      <c r="B70" s="323" t="s">
        <v>1655</v>
      </c>
      <c r="C70" s="800"/>
      <c r="D70" s="800"/>
      <c r="E70" s="800"/>
      <c r="F70" s="800"/>
      <c r="G70" s="335">
        <f>G57</f>
        <v>3.5000000000000003E-2</v>
      </c>
      <c r="H70" s="324" t="s">
        <v>2011</v>
      </c>
      <c r="I70" s="323" t="s">
        <v>315</v>
      </c>
    </row>
    <row r="71" spans="2:9" ht="15" customHeight="1">
      <c r="B71" s="323" t="s">
        <v>1656</v>
      </c>
      <c r="C71" s="800"/>
      <c r="D71" s="800"/>
      <c r="E71" s="800"/>
      <c r="F71" s="800"/>
      <c r="G71" s="335">
        <f>G58</f>
        <v>0.16800000000000001</v>
      </c>
      <c r="H71" s="324" t="s">
        <v>2011</v>
      </c>
      <c r="I71" s="323" t="s">
        <v>315</v>
      </c>
    </row>
    <row r="72" spans="2:9" ht="15" customHeight="1">
      <c r="B72" s="360" t="s">
        <v>1657</v>
      </c>
      <c r="C72" s="333">
        <f>C59/3.6*35.69</f>
        <v>197.68701033533145</v>
      </c>
      <c r="D72" s="333">
        <f t="shared" ref="D72:E72" si="16">D59/3.6*35.69</f>
        <v>9.8587601860117964</v>
      </c>
      <c r="E72" s="333">
        <f t="shared" si="16"/>
        <v>29.550817711633712</v>
      </c>
      <c r="F72" s="340">
        <f>C72*44/12+_xlfn.XLOOKUP(TULEMUSED!$D$4,'AR väärtused'!$B$4,'AR väärtused'!$C$4)*D72/1000+_xlfn.XLOOKUP(TULEMUSED!$D$4,'AR väärtused'!$B$4,'AR väärtused'!$D$4)*E72/1000</f>
        <v>733.90498391226583</v>
      </c>
      <c r="G72" s="335">
        <f>F72/(1/0.0036)</f>
        <v>2.6420579420841572</v>
      </c>
      <c r="H72" s="324" t="s">
        <v>2011</v>
      </c>
      <c r="I72" s="332" t="s">
        <v>1942</v>
      </c>
    </row>
    <row r="73" spans="2:9" ht="15" customHeight="1">
      <c r="B73" s="360" t="s">
        <v>1658</v>
      </c>
      <c r="C73" s="333">
        <f>C60/3.6*49</f>
        <v>0</v>
      </c>
      <c r="D73" s="333">
        <f t="shared" ref="D73:E73" si="17">D60/3.6*49</f>
        <v>135.30862787596735</v>
      </c>
      <c r="E73" s="333">
        <f t="shared" si="17"/>
        <v>1.6930225792859059</v>
      </c>
      <c r="F73" s="340">
        <f>C73*44/12+_xlfn.XLOOKUP(TULEMUSED!$D$4,'AR väärtused'!$B$4,'AR väärtused'!$C$4)*D73/1000+_xlfn.XLOOKUP(TULEMUSED!$D$4,'AR väärtused'!$B$4,'AR väärtused'!$D$4)*E73/1000</f>
        <v>3.8872364255263836</v>
      </c>
      <c r="G73" s="335">
        <f t="shared" ref="G73:G75" si="18">F73/(1/0.0036)</f>
        <v>1.3994051131894981E-2</v>
      </c>
      <c r="H73" s="363" t="s">
        <v>2016</v>
      </c>
      <c r="I73" s="323" t="s">
        <v>1952</v>
      </c>
    </row>
    <row r="74" spans="2:9" ht="15" customHeight="1">
      <c r="B74" s="323" t="s">
        <v>1659</v>
      </c>
      <c r="C74" s="333">
        <f>C61/3.6*49</f>
        <v>205.11944444444444</v>
      </c>
      <c r="D74" s="333">
        <f t="shared" ref="D74:E74" si="19">D61/3.6*49</f>
        <v>135.30862787596735</v>
      </c>
      <c r="E74" s="333">
        <f t="shared" si="19"/>
        <v>1.6930225792859059</v>
      </c>
      <c r="F74" s="340">
        <f>C74*44/12+_xlfn.XLOOKUP(TULEMUSED!$D$4,'AR väärtused'!$B$4,'AR väärtused'!$C$4)*D74/1000+_xlfn.XLOOKUP(TULEMUSED!$D$4,'AR väärtused'!$B$4,'AR väärtused'!$D$4)*E74/1000</f>
        <v>755.99186605515592</v>
      </c>
      <c r="G74" s="335">
        <f t="shared" si="18"/>
        <v>2.7215707177985613</v>
      </c>
      <c r="H74" s="363" t="s">
        <v>2016</v>
      </c>
      <c r="I74" s="323" t="s">
        <v>1952</v>
      </c>
    </row>
    <row r="75" spans="2:9" ht="15" customHeight="1">
      <c r="B75" s="360" t="s">
        <v>1660</v>
      </c>
      <c r="C75" s="333">
        <f>C62/3.6*45.5</f>
        <v>219.74070804445472</v>
      </c>
      <c r="D75" s="333">
        <f t="shared" ref="D75:E75" si="20">D62/3.6*45.5</f>
        <v>133.11037381370133</v>
      </c>
      <c r="E75" s="333">
        <f t="shared" si="20"/>
        <v>16.573419731158928</v>
      </c>
      <c r="F75" s="340">
        <f>C75*44/12+_xlfn.XLOOKUP(TULEMUSED!$D$4,'AR väärtused'!$B$4,'AR väärtused'!$C$4)*D75/1000+_xlfn.XLOOKUP(TULEMUSED!$D$4,'AR väärtused'!$B$4,'AR väärtused'!$D$4)*E75/1000</f>
        <v>813.98256792156189</v>
      </c>
      <c r="G75" s="335">
        <f t="shared" si="18"/>
        <v>2.9303372445176228</v>
      </c>
      <c r="H75" s="363" t="s">
        <v>2016</v>
      </c>
      <c r="I75" s="323" t="s">
        <v>1953</v>
      </c>
    </row>
    <row r="76" spans="2:9" ht="15" customHeight="1">
      <c r="B76" s="332" t="s">
        <v>316</v>
      </c>
      <c r="C76" s="333">
        <f>C63/3.6*35.69</f>
        <v>197.68701033533145</v>
      </c>
      <c r="D76" s="333">
        <f>D63/3.6*35.69</f>
        <v>41.142638888888889</v>
      </c>
      <c r="E76" s="333">
        <f t="shared" ref="E76:E77" si="21">E63/3.6*35.69</f>
        <v>283.53722222222223</v>
      </c>
      <c r="F76" s="340">
        <f>C76*44/12+_xlfn.XLOOKUP(TULEMUSED!$D$4,'AR väärtused'!$B$4,'AR väärtused'!$C$4)*D76/1000+_xlfn.XLOOKUP(TULEMUSED!$D$4,'AR väärtused'!$B$4,'AR väärtused'!$D$4)*E76/1000</f>
        <v>810.37502942399306</v>
      </c>
      <c r="G76" s="335">
        <f>F76/(1/0.0036)</f>
        <v>2.9173501059263751</v>
      </c>
      <c r="H76" s="324" t="s">
        <v>2011</v>
      </c>
      <c r="I76" s="332" t="s">
        <v>1942</v>
      </c>
    </row>
    <row r="77" spans="2:9" ht="15" customHeight="1">
      <c r="B77" s="323" t="s">
        <v>1649</v>
      </c>
      <c r="C77" s="333">
        <f>C64/3.6*35.69</f>
        <v>197.68701033533145</v>
      </c>
      <c r="D77" s="333">
        <f>D64/3.6*35.69</f>
        <v>69.397222222222211</v>
      </c>
      <c r="E77" s="333">
        <f t="shared" si="21"/>
        <v>19.827777777777776</v>
      </c>
      <c r="F77" s="340">
        <f>C77*44/12+_xlfn.XLOOKUP(TULEMUSED!$D$4,'AR väärtused'!$B$4,'AR väärtused'!$C$4)*D77/1000+_xlfn.XLOOKUP(TULEMUSED!$D$4,'AR väärtused'!$B$4,'AR väärtused'!$D$4)*E77/1000</f>
        <v>732.4959795628821</v>
      </c>
      <c r="G77" s="335">
        <f>F77/(1/0.0036)</f>
        <v>2.6369855264263755</v>
      </c>
      <c r="H77" s="324" t="s">
        <v>2011</v>
      </c>
      <c r="I77" s="332" t="s">
        <v>1942</v>
      </c>
    </row>
    <row r="78" spans="2:9" ht="15" customHeight="1">
      <c r="B78" s="323" t="s">
        <v>1650</v>
      </c>
      <c r="C78" s="800"/>
      <c r="D78" s="800"/>
      <c r="E78" s="800"/>
      <c r="F78" s="800"/>
      <c r="G78" s="335">
        <f>G65</f>
        <v>2.2509999999999999</v>
      </c>
      <c r="H78" s="324" t="s">
        <v>2011</v>
      </c>
      <c r="I78" s="323" t="s">
        <v>317</v>
      </c>
    </row>
    <row r="79" spans="2:9" ht="15" customHeight="1">
      <c r="B79" s="323" t="s">
        <v>1651</v>
      </c>
      <c r="C79" s="333">
        <f>C66/3.6*33</f>
        <v>177.22716614202551</v>
      </c>
      <c r="D79" s="333">
        <f t="shared" ref="D79:E79" si="22">D66/3.6*33</f>
        <v>11.704995390867449</v>
      </c>
      <c r="E79" s="333">
        <f t="shared" si="22"/>
        <v>18.333333333333339</v>
      </c>
      <c r="F79" s="340">
        <f>C79*44/12+_xlfn.XLOOKUP(TULEMUSED!$D$4,'AR väärtused'!$B$4,'AR väärtused'!$C$4)*D79/1000+_xlfn.XLOOKUP(TULEMUSED!$D$4,'AR väärtused'!$B$4,'AR väärtused'!$D$4)*E79/1000</f>
        <v>655.58890073886528</v>
      </c>
      <c r="G79" s="335">
        <f>F79/(1/0.0036)</f>
        <v>2.3601200426599149</v>
      </c>
      <c r="H79" s="324" t="s">
        <v>2011</v>
      </c>
      <c r="I79" s="323" t="s">
        <v>1954</v>
      </c>
    </row>
    <row r="80" spans="2:9" ht="15" customHeight="1">
      <c r="C80" s="364"/>
      <c r="D80" s="364"/>
      <c r="E80" s="364"/>
      <c r="F80" s="364"/>
      <c r="G80" s="364"/>
    </row>
    <row r="81" spans="2:9" ht="15" customHeight="1">
      <c r="C81" s="365"/>
      <c r="D81" s="365"/>
      <c r="E81" s="365"/>
      <c r="F81" s="365"/>
      <c r="G81" s="365"/>
    </row>
    <row r="82" spans="2:9" ht="15" customHeight="1">
      <c r="B82" s="320" t="s">
        <v>2268</v>
      </c>
      <c r="C82" s="328"/>
      <c r="D82" s="328"/>
      <c r="E82" s="328"/>
      <c r="F82" s="328"/>
      <c r="G82" s="328"/>
      <c r="H82" s="329"/>
      <c r="I82" s="780"/>
    </row>
    <row r="83" spans="2:9" ht="15" customHeight="1">
      <c r="B83" s="356" t="s">
        <v>2174</v>
      </c>
      <c r="C83" s="331" t="s">
        <v>1937</v>
      </c>
      <c r="D83" s="331" t="s">
        <v>2145</v>
      </c>
      <c r="E83" s="331" t="s">
        <v>2146</v>
      </c>
      <c r="F83" s="331" t="s">
        <v>2147</v>
      </c>
      <c r="G83" s="331" t="s">
        <v>1938</v>
      </c>
      <c r="H83" s="331" t="s">
        <v>81</v>
      </c>
      <c r="I83" s="356" t="s">
        <v>142</v>
      </c>
    </row>
    <row r="84" spans="2:9" ht="15" customHeight="1">
      <c r="B84" s="360" t="s">
        <v>87</v>
      </c>
      <c r="C84" s="347">
        <v>19.221442273458681</v>
      </c>
      <c r="D84" s="367">
        <v>6.6502911350657437</v>
      </c>
      <c r="E84" s="367">
        <v>1.1069298737273798</v>
      </c>
      <c r="F84" s="340">
        <f>C84*44/12+_xlfn.XLOOKUP(TULEMUSED!$D$4,'AR väärtused'!$B$4,'AR väärtused'!$C$4)*D84/1000+_xlfn.XLOOKUP(TULEMUSED!$D$4,'AR väärtused'!$B$4,'AR väärtused'!$D$4)*E84/1000</f>
        <v>70.974744050095907</v>
      </c>
      <c r="G84" s="344">
        <f>F84/(1/0.0036)</f>
        <v>0.25550907858034527</v>
      </c>
      <c r="H84" s="341" t="s">
        <v>2008</v>
      </c>
      <c r="I84" s="323" t="s">
        <v>1955</v>
      </c>
    </row>
    <row r="85" spans="2:9" ht="15" customHeight="1">
      <c r="B85" s="360" t="s">
        <v>90</v>
      </c>
      <c r="C85" s="347">
        <v>19.221442273458681</v>
      </c>
      <c r="D85" s="367">
        <v>56.97298157260397</v>
      </c>
      <c r="E85" s="367">
        <v>1.1556909827122794</v>
      </c>
      <c r="F85" s="340">
        <f>C85*44/12+_xlfn.XLOOKUP(TULEMUSED!$D$4,'AR väärtused'!$B$4,'AR väärtused'!$C$4)*D85/1000+_xlfn.XLOOKUP(TULEMUSED!$D$4,'AR väärtused'!$B$4,'AR väärtused'!$D$4)*E85/1000</f>
        <v>72.247342121511849</v>
      </c>
      <c r="G85" s="344">
        <f>F85/(1/0.0036)</f>
        <v>0.26009043163744267</v>
      </c>
      <c r="H85" s="341" t="s">
        <v>2008</v>
      </c>
      <c r="I85" s="323" t="s">
        <v>1941</v>
      </c>
    </row>
    <row r="86" spans="2:9" ht="15" customHeight="1">
      <c r="B86" s="323" t="s">
        <v>318</v>
      </c>
      <c r="C86" s="347">
        <v>19.221442273458681</v>
      </c>
      <c r="D86" s="367">
        <v>16.877354530224853</v>
      </c>
      <c r="E86" s="368">
        <v>0.88363112723690307</v>
      </c>
      <c r="F86" s="340">
        <f>C86*44/12+_xlfn.XLOOKUP(TULEMUSED!$D$4,'AR väärtused'!$B$4,'AR väärtused'!$C$4)*D86/1000+_xlfn.XLOOKUP(TULEMUSED!$D$4,'AR väärtused'!$B$4,'AR väärtused'!$D$4)*E86/1000</f>
        <v>71.163877608520707</v>
      </c>
      <c r="G86" s="344">
        <f>F86/(1/0.0036)</f>
        <v>0.25618995939067457</v>
      </c>
      <c r="H86" s="341" t="s">
        <v>2008</v>
      </c>
      <c r="I86" s="323" t="s">
        <v>1941</v>
      </c>
    </row>
    <row r="87" spans="2:9" ht="15" customHeight="1">
      <c r="B87" s="323" t="s">
        <v>319</v>
      </c>
      <c r="C87" s="347">
        <v>19.221442273458681</v>
      </c>
      <c r="D87" s="368">
        <v>9.3103285400908273</v>
      </c>
      <c r="E87" s="368">
        <v>0.9288439001787121</v>
      </c>
      <c r="F87" s="340">
        <f>C87*44/12+_xlfn.XLOOKUP(TULEMUSED!$D$4,'AR väärtused'!$B$4,'AR väärtused'!$C$4)*D87/1000+_xlfn.XLOOKUP(TULEMUSED!$D$4,'AR väärtused'!$B$4,'AR väärtused'!$D$4)*E87/1000</f>
        <v>70.988175365104027</v>
      </c>
      <c r="G87" s="344">
        <f>F87/(1/0.0036)</f>
        <v>0.25555743131437453</v>
      </c>
      <c r="H87" s="341" t="s">
        <v>2008</v>
      </c>
      <c r="I87" s="323" t="s">
        <v>1941</v>
      </c>
    </row>
    <row r="88" spans="2:9" ht="15" customHeight="1">
      <c r="B88" s="323" t="s">
        <v>88</v>
      </c>
      <c r="C88" s="343">
        <v>0</v>
      </c>
      <c r="D88" s="369">
        <v>9.4424704299299211</v>
      </c>
      <c r="E88" s="369">
        <v>0.1455911387465206</v>
      </c>
      <c r="F88" s="340">
        <f>C88*44/12+_xlfn.XLOOKUP(TULEMUSED!$D$4,'AR väärtused'!$B$4,'AR väärtused'!$C$4)*D88/1000+_xlfn.XLOOKUP(TULEMUSED!$D$4,'AR väärtused'!$B$4,'AR väärtused'!$D$4)*E88/1000</f>
        <v>0.27944792009471114</v>
      </c>
      <c r="G88" s="344">
        <f t="shared" ref="G88:G100" si="23">F88/(1/0.0036)</f>
        <v>1.0060125123409602E-3</v>
      </c>
      <c r="H88" s="341" t="s">
        <v>2008</v>
      </c>
      <c r="I88" s="323" t="s">
        <v>1956</v>
      </c>
    </row>
    <row r="89" spans="2:9" ht="15" customHeight="1">
      <c r="B89" s="323" t="s">
        <v>320</v>
      </c>
      <c r="C89" s="343">
        <v>0</v>
      </c>
      <c r="D89" s="368">
        <v>12.865476765465505</v>
      </c>
      <c r="E89" s="368">
        <v>0</v>
      </c>
      <c r="F89" s="340">
        <f>C89*44/12+_xlfn.XLOOKUP(TULEMUSED!$D$4,'AR väärtused'!$B$4,'AR väärtused'!$C$4)*D89/1000+_xlfn.XLOOKUP(TULEMUSED!$D$4,'AR väärtused'!$B$4,'AR väärtused'!$D$4)*E89/1000</f>
        <v>0.32163691913663761</v>
      </c>
      <c r="G89" s="344">
        <f t="shared" si="23"/>
        <v>1.1578929088918953E-3</v>
      </c>
      <c r="H89" s="341" t="s">
        <v>2008</v>
      </c>
      <c r="I89" s="323" t="s">
        <v>1941</v>
      </c>
    </row>
    <row r="90" spans="2:9" ht="15" customHeight="1">
      <c r="B90" s="360" t="s">
        <v>321</v>
      </c>
      <c r="C90" s="343">
        <v>0</v>
      </c>
      <c r="D90" s="369">
        <v>9.4424704299299211</v>
      </c>
      <c r="E90" s="369">
        <v>0.1455911387465206</v>
      </c>
      <c r="F90" s="340">
        <f>C90*44/12+_xlfn.XLOOKUP(TULEMUSED!$D$4,'AR väärtused'!$B$4,'AR väärtused'!$C$4)*D90/1000+_xlfn.XLOOKUP(TULEMUSED!$D$4,'AR väärtused'!$B$4,'AR väärtused'!$D$4)*E90/1000</f>
        <v>0.27944792009471114</v>
      </c>
      <c r="G90" s="344">
        <f t="shared" si="23"/>
        <v>1.0060125123409602E-3</v>
      </c>
      <c r="H90" s="341" t="s">
        <v>2008</v>
      </c>
      <c r="I90" s="323" t="s">
        <v>1941</v>
      </c>
    </row>
    <row r="91" spans="2:9" ht="15" customHeight="1">
      <c r="B91" s="323" t="s">
        <v>322</v>
      </c>
      <c r="C91" s="343">
        <v>15.07</v>
      </c>
      <c r="D91" s="369">
        <v>9.4424704299299211</v>
      </c>
      <c r="E91" s="369">
        <v>0.1455911387465206</v>
      </c>
      <c r="F91" s="340">
        <f>C91*44/12+_xlfn.XLOOKUP(TULEMUSED!$D$4,'AR väärtused'!$B$4,'AR väärtused'!$C$4)*D91/1000+_xlfn.XLOOKUP(TULEMUSED!$D$4,'AR väärtused'!$B$4,'AR väärtused'!$D$4)*E91/1000</f>
        <v>55.536114586761379</v>
      </c>
      <c r="G91" s="344">
        <f t="shared" si="23"/>
        <v>0.19993001251234097</v>
      </c>
      <c r="H91" s="341" t="s">
        <v>2008</v>
      </c>
      <c r="I91" s="323" t="s">
        <v>1957</v>
      </c>
    </row>
    <row r="92" spans="2:9" ht="15" customHeight="1">
      <c r="B92" s="323" t="s">
        <v>323</v>
      </c>
      <c r="C92" s="343">
        <v>15.07</v>
      </c>
      <c r="D92" s="368">
        <v>12.865476765465505</v>
      </c>
      <c r="E92" s="368">
        <v>0</v>
      </c>
      <c r="F92" s="340">
        <f>C92*44/12+_xlfn.XLOOKUP(TULEMUSED!$D$4,'AR väärtused'!$B$4,'AR väärtused'!$C$4)*D92/1000+_xlfn.XLOOKUP(TULEMUSED!$D$4,'AR väärtused'!$B$4,'AR väärtused'!$D$4)*E92/1000</f>
        <v>55.578303585803305</v>
      </c>
      <c r="G92" s="344">
        <f t="shared" si="23"/>
        <v>0.20008189290889189</v>
      </c>
      <c r="H92" s="341" t="s">
        <v>2008</v>
      </c>
      <c r="I92" s="323" t="s">
        <v>1941</v>
      </c>
    </row>
    <row r="93" spans="2:9" ht="15" customHeight="1">
      <c r="B93" s="360" t="s">
        <v>324</v>
      </c>
      <c r="C93" s="343">
        <v>15.07</v>
      </c>
      <c r="D93" s="369">
        <v>9.4424704299299211</v>
      </c>
      <c r="E93" s="369">
        <v>0.1455911387465206</v>
      </c>
      <c r="F93" s="340">
        <f>C93*44/12+_xlfn.XLOOKUP(TULEMUSED!$D$4,'AR väärtused'!$B$4,'AR väärtused'!$C$4)*D93/1000+_xlfn.XLOOKUP(TULEMUSED!$D$4,'AR väärtused'!$B$4,'AR väärtused'!$D$4)*E93/1000</f>
        <v>55.536114586761379</v>
      </c>
      <c r="G93" s="344">
        <f t="shared" si="23"/>
        <v>0.19993001251234097</v>
      </c>
      <c r="H93" s="341" t="s">
        <v>2008</v>
      </c>
      <c r="I93" s="323" t="s">
        <v>1941</v>
      </c>
    </row>
    <row r="94" spans="2:9" ht="15" customHeight="1">
      <c r="B94" s="360" t="s">
        <v>325</v>
      </c>
      <c r="C94" s="347">
        <v>19.940410120683477</v>
      </c>
      <c r="D94" s="370">
        <v>2.448465201448669</v>
      </c>
      <c r="E94" s="370">
        <v>3.1940914291015923</v>
      </c>
      <c r="F94" s="340">
        <f>C94*44/12+_xlfn.XLOOKUP(TULEMUSED!$D$4,'AR väärtused'!$B$4,'AR väärtused'!$C$4)*D94/1000+_xlfn.XLOOKUP(TULEMUSED!$D$4,'AR väärtused'!$B$4,'AR väärtused'!$D$4)*E94/1000</f>
        <v>74.127887985081244</v>
      </c>
      <c r="G94" s="344">
        <f t="shared" si="23"/>
        <v>0.26686039674629247</v>
      </c>
      <c r="H94" s="341" t="s">
        <v>2008</v>
      </c>
      <c r="I94" s="323" t="s">
        <v>1941</v>
      </c>
    </row>
    <row r="95" spans="2:9" ht="15" customHeight="1">
      <c r="B95" s="360" t="s">
        <v>326</v>
      </c>
      <c r="C95" s="347">
        <v>19.940410120683477</v>
      </c>
      <c r="D95" s="370">
        <v>0.26879458626907377</v>
      </c>
      <c r="E95" s="370">
        <v>2.4171490394918882</v>
      </c>
      <c r="F95" s="340">
        <f>C95*44/12+_xlfn.XLOOKUP(TULEMUSED!$D$4,'AR väärtused'!$B$4,'AR väärtused'!$C$4)*D95/1000+_xlfn.XLOOKUP(TULEMUSED!$D$4,'AR väärtused'!$B$4,'AR väärtused'!$D$4)*E95/1000</f>
        <v>73.841867387598072</v>
      </c>
      <c r="G95" s="344">
        <f t="shared" si="23"/>
        <v>0.26583072259535306</v>
      </c>
      <c r="H95" s="341" t="s">
        <v>2008</v>
      </c>
      <c r="I95" s="323" t="s">
        <v>1941</v>
      </c>
    </row>
    <row r="96" spans="2:9" ht="15" customHeight="1">
      <c r="B96" s="323" t="s">
        <v>327</v>
      </c>
      <c r="C96" s="347">
        <v>19.940410120683477</v>
      </c>
      <c r="D96" s="371">
        <v>2.448465201448669</v>
      </c>
      <c r="E96" s="371">
        <v>3.1940914291015923</v>
      </c>
      <c r="F96" s="340">
        <f>C96*44/12+_xlfn.XLOOKUP(TULEMUSED!$D$4,'AR väärtused'!$B$4,'AR väärtused'!$C$4)*D96/1000+_xlfn.XLOOKUP(TULEMUSED!$D$4,'AR väärtused'!$B$4,'AR väärtused'!$D$4)*E96/1000</f>
        <v>74.127887985081244</v>
      </c>
      <c r="G96" s="344">
        <f t="shared" si="23"/>
        <v>0.26686039674629247</v>
      </c>
      <c r="H96" s="341" t="s">
        <v>2008</v>
      </c>
      <c r="I96" s="323" t="s">
        <v>1941</v>
      </c>
    </row>
    <row r="97" spans="2:9" ht="15" customHeight="1">
      <c r="B97" s="323" t="s">
        <v>328</v>
      </c>
      <c r="C97" s="347">
        <v>19.940410120683477</v>
      </c>
      <c r="D97" s="368">
        <v>0.43070459383885695</v>
      </c>
      <c r="E97" s="368">
        <v>3.0397096084774344</v>
      </c>
      <c r="F97" s="340">
        <f>C97*44/12+_xlfn.XLOOKUP(TULEMUSED!$D$4,'AR väärtused'!$B$4,'AR väärtused'!$C$4)*D97/1000+_xlfn.XLOOKUP(TULEMUSED!$D$4,'AR väärtused'!$B$4,'AR väärtused'!$D$4)*E97/1000</f>
        <v>74.031438187345003</v>
      </c>
      <c r="G97" s="344">
        <f t="shared" si="23"/>
        <v>0.26651317747444203</v>
      </c>
      <c r="H97" s="341" t="s">
        <v>2008</v>
      </c>
      <c r="I97" s="323" t="s">
        <v>1941</v>
      </c>
    </row>
    <row r="98" spans="2:9" ht="15" customHeight="1">
      <c r="B98" s="323" t="s">
        <v>329</v>
      </c>
      <c r="C98" s="343">
        <v>17.386077999121692</v>
      </c>
      <c r="D98" s="343">
        <v>10.531809796248897</v>
      </c>
      <c r="E98" s="343">
        <v>1.3113035391686187</v>
      </c>
      <c r="F98" s="340">
        <f>C98*44/12+_xlfn.XLOOKUP(TULEMUSED!$D$4,'AR väärtused'!$B$4,'AR väärtused'!$C$4)*D98/1000+_xlfn.XLOOKUP(TULEMUSED!$D$4,'AR väärtused'!$B$4,'AR väärtused'!$D$4)*E98/1000</f>
        <v>64.403016363024676</v>
      </c>
      <c r="G98" s="344">
        <f t="shared" si="23"/>
        <v>0.23185085890688883</v>
      </c>
      <c r="H98" s="341" t="s">
        <v>2008</v>
      </c>
      <c r="I98" s="323" t="s">
        <v>1941</v>
      </c>
    </row>
    <row r="99" spans="2:9" ht="15" customHeight="1">
      <c r="B99" s="323" t="s">
        <v>89</v>
      </c>
      <c r="C99" s="343">
        <v>17.386077999121692</v>
      </c>
      <c r="D99" s="343">
        <v>10.531809796248897</v>
      </c>
      <c r="E99" s="343">
        <v>1.3113035391686187</v>
      </c>
      <c r="F99" s="340">
        <f>C99*44/12+_xlfn.XLOOKUP(TULEMUSED!$D$4,'AR väärtused'!$B$4,'AR väärtused'!$C$4)*D99/1000+_xlfn.XLOOKUP(TULEMUSED!$D$4,'AR väärtused'!$B$4,'AR väärtused'!$D$4)*E99/1000</f>
        <v>64.403016363024676</v>
      </c>
      <c r="G99" s="344">
        <f t="shared" si="23"/>
        <v>0.23185085890688883</v>
      </c>
      <c r="H99" s="341" t="s">
        <v>2008</v>
      </c>
      <c r="I99" s="323" t="s">
        <v>1941</v>
      </c>
    </row>
    <row r="100" spans="2:9" ht="15" customHeight="1">
      <c r="B100" s="323" t="s">
        <v>330</v>
      </c>
      <c r="C100" s="343">
        <v>17.386077999121692</v>
      </c>
      <c r="D100" s="343">
        <v>10.531809796248897</v>
      </c>
      <c r="E100" s="343">
        <v>1.3113035391686187</v>
      </c>
      <c r="F100" s="340">
        <f>C100*44/12+_xlfn.XLOOKUP(TULEMUSED!$D$4,'AR väärtused'!$B$4,'AR väärtused'!$C$4)*D100/1000+_xlfn.XLOOKUP(TULEMUSED!$D$4,'AR väärtused'!$B$4,'AR väärtused'!$D$4)*E100/1000</f>
        <v>64.403016363024676</v>
      </c>
      <c r="G100" s="344">
        <f t="shared" si="23"/>
        <v>0.23185085890688883</v>
      </c>
      <c r="H100" s="341" t="s">
        <v>2008</v>
      </c>
      <c r="I100" s="323" t="s">
        <v>1958</v>
      </c>
    </row>
    <row r="101" spans="2:9" ht="15" customHeight="1">
      <c r="B101" s="356" t="s">
        <v>2174</v>
      </c>
      <c r="C101" s="331" t="s">
        <v>1937</v>
      </c>
      <c r="D101" s="331" t="s">
        <v>2145</v>
      </c>
      <c r="E101" s="331" t="s">
        <v>2146</v>
      </c>
      <c r="F101" s="331" t="s">
        <v>2147</v>
      </c>
      <c r="G101" s="331" t="s">
        <v>1938</v>
      </c>
      <c r="H101" s="331" t="s">
        <v>81</v>
      </c>
      <c r="I101" s="356" t="s">
        <v>142</v>
      </c>
    </row>
    <row r="102" spans="2:9" ht="15" customHeight="1">
      <c r="B102" s="360" t="s">
        <v>87</v>
      </c>
      <c r="C102" s="333">
        <f>C84/3.6*31.82</f>
        <v>169.89619253929311</v>
      </c>
      <c r="D102" s="333">
        <f t="shared" ref="D102:E102" si="24">D84/3.6*31.82</f>
        <v>58.781184421608877</v>
      </c>
      <c r="E102" s="333">
        <f t="shared" si="24"/>
        <v>9.7840301616681185</v>
      </c>
      <c r="F102" s="340">
        <f>C102*44/12+_xlfn.XLOOKUP(TULEMUSED!$D$4,'AR väärtused'!$B$4,'AR väärtused'!$C$4)*D102/1000+_xlfn.XLOOKUP(TULEMUSED!$D$4,'AR väärtused'!$B$4,'AR väärtused'!$D$4)*E102/1000</f>
        <v>627.33787657612538</v>
      </c>
      <c r="G102" s="335">
        <f>F102/(1/0.0036)</f>
        <v>2.2584163556740515</v>
      </c>
      <c r="H102" s="324" t="s">
        <v>2011</v>
      </c>
      <c r="I102" s="323" t="s">
        <v>1950</v>
      </c>
    </row>
    <row r="103" spans="2:9" ht="15" customHeight="1">
      <c r="B103" s="360" t="s">
        <v>90</v>
      </c>
      <c r="C103" s="333">
        <f t="shared" ref="C103:E103" si="25">C85/3.6*31.82</f>
        <v>169.89619253929311</v>
      </c>
      <c r="D103" s="333">
        <f t="shared" si="25"/>
        <v>503.57785378896062</v>
      </c>
      <c r="E103" s="333">
        <f t="shared" si="25"/>
        <v>10.215024186084648</v>
      </c>
      <c r="F103" s="340">
        <f>C103*44/12+_xlfn.XLOOKUP(TULEMUSED!$D$4,'AR väärtused'!$B$4,'AR väärtused'!$C$4)*D103/1000+_xlfn.XLOOKUP(TULEMUSED!$D$4,'AR väärtused'!$B$4,'AR väärtused'!$D$4)*E103/1000</f>
        <v>638.58622952958535</v>
      </c>
      <c r="G103" s="335">
        <f t="shared" ref="G103:G104" si="26">F103/(1/0.0036)</f>
        <v>2.2989104263065072</v>
      </c>
      <c r="H103" s="324" t="s">
        <v>2011</v>
      </c>
      <c r="I103" s="323" t="s">
        <v>1950</v>
      </c>
    </row>
    <row r="104" spans="2:9" ht="15" customHeight="1">
      <c r="B104" s="323" t="s">
        <v>318</v>
      </c>
      <c r="C104" s="333">
        <f t="shared" ref="C104:E104" si="27">C86/3.6*31.82</f>
        <v>169.89619253929311</v>
      </c>
      <c r="D104" s="333">
        <f t="shared" si="27"/>
        <v>149.177061431043</v>
      </c>
      <c r="E104" s="333">
        <f t="shared" si="27"/>
        <v>7.8103173524106264</v>
      </c>
      <c r="F104" s="340">
        <f>C104*44/12+_xlfn.XLOOKUP(TULEMUSED!$D$4,'AR väärtused'!$B$4,'AR väärtused'!$C$4)*D104/1000+_xlfn.XLOOKUP(TULEMUSED!$D$4,'AR väärtused'!$B$4,'AR väärtused'!$D$4)*E104/1000</f>
        <v>629.00960708420246</v>
      </c>
      <c r="G104" s="335">
        <f t="shared" si="26"/>
        <v>2.2644345855031287</v>
      </c>
      <c r="H104" s="324" t="s">
        <v>2011</v>
      </c>
      <c r="I104" s="323" t="s">
        <v>1950</v>
      </c>
    </row>
    <row r="105" spans="2:9" ht="15" customHeight="1">
      <c r="B105" s="323" t="s">
        <v>319</v>
      </c>
      <c r="C105" s="333">
        <f t="shared" ref="C105:E105" si="28">C87/3.6*31.82</f>
        <v>169.89619253929311</v>
      </c>
      <c r="D105" s="333">
        <f t="shared" si="28"/>
        <v>82.292959484913922</v>
      </c>
      <c r="E105" s="333">
        <f t="shared" si="28"/>
        <v>8.209948028801838</v>
      </c>
      <c r="F105" s="340">
        <f>C105*44/12+_xlfn.XLOOKUP(TULEMUSED!$D$4,'AR väärtused'!$B$4,'AR väärtused'!$C$4)*D105/1000+_xlfn.XLOOKUP(TULEMUSED!$D$4,'AR väärtused'!$B$4,'AR väärtused'!$D$4)*E105/1000</f>
        <v>627.45659447711387</v>
      </c>
      <c r="G105" s="335">
        <f>F105/(1/0.0036)</f>
        <v>2.25884374011761</v>
      </c>
      <c r="H105" s="324" t="s">
        <v>2011</v>
      </c>
      <c r="I105" s="323" t="s">
        <v>1950</v>
      </c>
    </row>
    <row r="106" spans="2:9" ht="15" customHeight="1">
      <c r="B106" s="323" t="s">
        <v>88</v>
      </c>
      <c r="C106" s="333">
        <f>C88/3.6*49</f>
        <v>0</v>
      </c>
      <c r="D106" s="333">
        <f t="shared" ref="D106:E106" si="29">D88/3.6*49</f>
        <v>128.52251418515726</v>
      </c>
      <c r="E106" s="333">
        <f t="shared" si="29"/>
        <v>1.9816571662720861</v>
      </c>
      <c r="F106" s="340">
        <f>C106*44/12+_xlfn.XLOOKUP(TULEMUSED!$D$4,'AR väärtused'!$B$4,'AR väärtused'!$C$4)*D106/1000+_xlfn.XLOOKUP(TULEMUSED!$D$4,'AR väärtused'!$B$4,'AR väärtused'!$D$4)*E106/1000</f>
        <v>3.8035966901780136</v>
      </c>
      <c r="G106" s="335">
        <f t="shared" ref="G106:G111" si="30">F106/(1/0.0036)</f>
        <v>1.369294808464085E-2</v>
      </c>
      <c r="H106" s="363" t="s">
        <v>2016</v>
      </c>
      <c r="I106" s="323" t="s">
        <v>1959</v>
      </c>
    </row>
    <row r="107" spans="2:9" ht="15" customHeight="1">
      <c r="B107" s="323" t="s">
        <v>320</v>
      </c>
      <c r="C107" s="333">
        <f t="shared" ref="C107:E107" si="31">C89/3.6*49</f>
        <v>0</v>
      </c>
      <c r="D107" s="333">
        <f t="shared" si="31"/>
        <v>175.11343375216939</v>
      </c>
      <c r="E107" s="333">
        <f t="shared" si="31"/>
        <v>0</v>
      </c>
      <c r="F107" s="340">
        <f>C107*44/12+_xlfn.XLOOKUP(TULEMUSED!$D$4,'AR väärtused'!$B$4,'AR väärtused'!$C$4)*D107/1000+_xlfn.XLOOKUP(TULEMUSED!$D$4,'AR väärtused'!$B$4,'AR väärtused'!$D$4)*E107/1000</f>
        <v>4.3778358438042337</v>
      </c>
      <c r="G107" s="335">
        <f t="shared" si="30"/>
        <v>1.5760209037695243E-2</v>
      </c>
      <c r="H107" s="363" t="s">
        <v>2016</v>
      </c>
      <c r="I107" s="323" t="s">
        <v>1960</v>
      </c>
    </row>
    <row r="108" spans="2:9" ht="15" customHeight="1">
      <c r="B108" s="360" t="s">
        <v>321</v>
      </c>
      <c r="C108" s="333">
        <f t="shared" ref="C108:E108" si="32">C90/3.6*49</f>
        <v>0</v>
      </c>
      <c r="D108" s="333">
        <f t="shared" si="32"/>
        <v>128.52251418515726</v>
      </c>
      <c r="E108" s="333">
        <f t="shared" si="32"/>
        <v>1.9816571662720861</v>
      </c>
      <c r="F108" s="340">
        <f>C108*44/12+_xlfn.XLOOKUP(TULEMUSED!$D$4,'AR väärtused'!$B$4,'AR väärtused'!$C$4)*D108/1000+_xlfn.XLOOKUP(TULEMUSED!$D$4,'AR väärtused'!$B$4,'AR väärtused'!$D$4)*E108/1000</f>
        <v>3.8035966901780136</v>
      </c>
      <c r="G108" s="335">
        <f t="shared" si="30"/>
        <v>1.369294808464085E-2</v>
      </c>
      <c r="H108" s="363" t="s">
        <v>2016</v>
      </c>
      <c r="I108" s="323" t="s">
        <v>1960</v>
      </c>
    </row>
    <row r="109" spans="2:9" ht="15" customHeight="1">
      <c r="B109" s="323" t="s">
        <v>322</v>
      </c>
      <c r="C109" s="333">
        <f t="shared" ref="C109:E109" si="33">C91/3.6*49</f>
        <v>205.11944444444444</v>
      </c>
      <c r="D109" s="333">
        <f t="shared" si="33"/>
        <v>128.52251418515726</v>
      </c>
      <c r="E109" s="333">
        <f t="shared" si="33"/>
        <v>1.9816571662720861</v>
      </c>
      <c r="F109" s="340">
        <f>C109*44/12+_xlfn.XLOOKUP(TULEMUSED!$D$4,'AR väärtused'!$B$4,'AR väärtused'!$C$4)*D109/1000+_xlfn.XLOOKUP(TULEMUSED!$D$4,'AR väärtused'!$B$4,'AR väärtused'!$D$4)*E109/1000</f>
        <v>755.90822631980757</v>
      </c>
      <c r="G109" s="335">
        <f t="shared" si="30"/>
        <v>2.7212696147513071</v>
      </c>
      <c r="H109" s="363" t="s">
        <v>2016</v>
      </c>
      <c r="I109" s="323" t="s">
        <v>1961</v>
      </c>
    </row>
    <row r="110" spans="2:9" ht="15" customHeight="1">
      <c r="B110" s="323" t="s">
        <v>323</v>
      </c>
      <c r="C110" s="333">
        <f t="shared" ref="C110:E110" si="34">C92/3.6*49</f>
        <v>205.11944444444444</v>
      </c>
      <c r="D110" s="333">
        <f t="shared" si="34"/>
        <v>175.11343375216939</v>
      </c>
      <c r="E110" s="333">
        <f t="shared" si="34"/>
        <v>0</v>
      </c>
      <c r="F110" s="340">
        <f>C110*44/12+_xlfn.XLOOKUP(TULEMUSED!$D$4,'AR väärtused'!$B$4,'AR väärtused'!$C$4)*D110/1000+_xlfn.XLOOKUP(TULEMUSED!$D$4,'AR väärtused'!$B$4,'AR väärtused'!$D$4)*E110/1000</f>
        <v>756.48246547343376</v>
      </c>
      <c r="G110" s="335">
        <f t="shared" si="30"/>
        <v>2.7233368757043617</v>
      </c>
      <c r="H110" s="363" t="s">
        <v>2016</v>
      </c>
      <c r="I110" s="323" t="s">
        <v>1960</v>
      </c>
    </row>
    <row r="111" spans="2:9" ht="15" customHeight="1">
      <c r="B111" s="360" t="s">
        <v>324</v>
      </c>
      <c r="C111" s="333">
        <f t="shared" ref="C111:E111" si="35">C93/3.6*49</f>
        <v>205.11944444444444</v>
      </c>
      <c r="D111" s="333">
        <f t="shared" si="35"/>
        <v>128.52251418515726</v>
      </c>
      <c r="E111" s="333">
        <f t="shared" si="35"/>
        <v>1.9816571662720861</v>
      </c>
      <c r="F111" s="340">
        <f>C111*44/12+_xlfn.XLOOKUP(TULEMUSED!$D$4,'AR väärtused'!$B$4,'AR väärtused'!$C$4)*D111/1000+_xlfn.XLOOKUP(TULEMUSED!$D$4,'AR väärtused'!$B$4,'AR väärtused'!$D$4)*E111/1000</f>
        <v>755.90822631980757</v>
      </c>
      <c r="G111" s="335">
        <f t="shared" si="30"/>
        <v>2.7212696147513071</v>
      </c>
      <c r="H111" s="363" t="s">
        <v>2016</v>
      </c>
      <c r="I111" s="323" t="s">
        <v>1960</v>
      </c>
    </row>
    <row r="112" spans="2:9" ht="15" customHeight="1">
      <c r="B112" s="360" t="s">
        <v>325</v>
      </c>
      <c r="C112" s="333">
        <f>C94/3.6*35.69</f>
        <v>197.68701033533145</v>
      </c>
      <c r="D112" s="333">
        <f t="shared" ref="D112:E112" si="36">D94/3.6*35.69</f>
        <v>24.273811955473054</v>
      </c>
      <c r="E112" s="333">
        <f t="shared" si="36"/>
        <v>31.665867529065505</v>
      </c>
      <c r="F112" s="340">
        <f>C112*44/12+_xlfn.XLOOKUP(TULEMUSED!$D$4,'AR väärtused'!$B$4,'AR väärtused'!$C$4)*D112/1000+_xlfn.XLOOKUP(TULEMUSED!$D$4,'AR väärtused'!$B$4,'AR väärtused'!$D$4)*E112/1000</f>
        <v>734.89564505209705</v>
      </c>
      <c r="G112" s="335">
        <f>F112/(1/0.0036)</f>
        <v>2.6456243221875493</v>
      </c>
      <c r="H112" s="324" t="s">
        <v>2011</v>
      </c>
      <c r="I112" s="332" t="s">
        <v>1942</v>
      </c>
    </row>
    <row r="113" spans="2:9" ht="15" customHeight="1">
      <c r="B113" s="360" t="s">
        <v>326</v>
      </c>
      <c r="C113" s="333">
        <f t="shared" ref="C113:E113" si="37">C95/3.6*35.69</f>
        <v>197.68701033533145</v>
      </c>
      <c r="D113" s="333">
        <f t="shared" si="37"/>
        <v>2.6647996622064563</v>
      </c>
      <c r="E113" s="333">
        <f t="shared" si="37"/>
        <v>23.963347005407076</v>
      </c>
      <c r="F113" s="340">
        <f>C113*44/12+_xlfn.XLOOKUP(TULEMUSED!$D$4,'AR väärtused'!$B$4,'AR väärtused'!$C$4)*D113/1000+_xlfn.XLOOKUP(TULEMUSED!$D$4,'AR väärtused'!$B$4,'AR väärtused'!$D$4)*E113/1000</f>
        <v>732.06006862871516</v>
      </c>
      <c r="G113" s="335">
        <f t="shared" ref="G113:G118" si="38">F113/(1/0.0036)</f>
        <v>2.6354162470633744</v>
      </c>
      <c r="H113" s="324" t="s">
        <v>2011</v>
      </c>
      <c r="I113" s="332" t="s">
        <v>1942</v>
      </c>
    </row>
    <row r="114" spans="2:9" ht="15" customHeight="1">
      <c r="B114" s="323" t="s">
        <v>327</v>
      </c>
      <c r="C114" s="333">
        <f t="shared" ref="C114:E114" si="39">C96/3.6*35.69</f>
        <v>197.68701033533145</v>
      </c>
      <c r="D114" s="333">
        <f t="shared" si="39"/>
        <v>24.273811955473054</v>
      </c>
      <c r="E114" s="333">
        <f t="shared" si="39"/>
        <v>31.665867529065505</v>
      </c>
      <c r="F114" s="340">
        <f>C114*44/12+_xlfn.XLOOKUP(TULEMUSED!$D$4,'AR väärtused'!$B$4,'AR väärtused'!$C$4)*D114/1000+_xlfn.XLOOKUP(TULEMUSED!$D$4,'AR väärtused'!$B$4,'AR väärtused'!$D$4)*E114/1000</f>
        <v>734.89564505209705</v>
      </c>
      <c r="G114" s="335">
        <f>F114/(1/0.0036)</f>
        <v>2.6456243221875493</v>
      </c>
      <c r="H114" s="324" t="s">
        <v>2011</v>
      </c>
      <c r="I114" s="332" t="s">
        <v>1942</v>
      </c>
    </row>
    <row r="115" spans="2:9" ht="15" customHeight="1">
      <c r="B115" s="323" t="s">
        <v>328</v>
      </c>
      <c r="C115" s="333">
        <f t="shared" ref="C115:E115" si="40">C97/3.6*35.69</f>
        <v>197.68701033533145</v>
      </c>
      <c r="D115" s="333">
        <f t="shared" si="40"/>
        <v>4.2699574872524453</v>
      </c>
      <c r="E115" s="333">
        <f t="shared" si="40"/>
        <v>30.13534331293323</v>
      </c>
      <c r="F115" s="340">
        <f>C115*44/12+_xlfn.XLOOKUP(TULEMUSED!$D$4,'AR väärtused'!$B$4,'AR väärtused'!$C$4)*D115/1000+_xlfn.XLOOKUP(TULEMUSED!$D$4,'AR väärtused'!$B$4,'AR väärtused'!$D$4)*E115/1000</f>
        <v>733.93945247398415</v>
      </c>
      <c r="G115" s="335">
        <f t="shared" si="38"/>
        <v>2.6421820289063431</v>
      </c>
      <c r="H115" s="324" t="s">
        <v>2011</v>
      </c>
      <c r="I115" s="332" t="s">
        <v>1942</v>
      </c>
    </row>
    <row r="116" spans="2:9" ht="15" customHeight="1">
      <c r="B116" s="323" t="s">
        <v>329</v>
      </c>
      <c r="C116" s="333">
        <f>C98/3.6*45.5</f>
        <v>219.74070804445472</v>
      </c>
      <c r="D116" s="333">
        <f t="shared" ref="D116:E116" si="41">D98/3.6*45.5</f>
        <v>133.11037381370133</v>
      </c>
      <c r="E116" s="333">
        <f t="shared" si="41"/>
        <v>16.573419731158928</v>
      </c>
      <c r="F116" s="340">
        <f>C116*44/12+_xlfn.XLOOKUP(TULEMUSED!$D$4,'AR väärtused'!$B$4,'AR väärtused'!$C$4)*D116/1000+_xlfn.XLOOKUP(TULEMUSED!$D$4,'AR väärtused'!$B$4,'AR väärtused'!$D$4)*E116/1000</f>
        <v>813.98256792156189</v>
      </c>
      <c r="G116" s="335">
        <f t="shared" si="38"/>
        <v>2.9303372445176228</v>
      </c>
      <c r="H116" s="363" t="s">
        <v>2016</v>
      </c>
      <c r="I116" s="323" t="s">
        <v>1953</v>
      </c>
    </row>
    <row r="117" spans="2:9" ht="15" customHeight="1">
      <c r="B117" s="323" t="s">
        <v>89</v>
      </c>
      <c r="C117" s="333">
        <f t="shared" ref="C117:E117" si="42">C99/3.6*45.5</f>
        <v>219.74070804445472</v>
      </c>
      <c r="D117" s="333">
        <f t="shared" si="42"/>
        <v>133.11037381370133</v>
      </c>
      <c r="E117" s="333">
        <f t="shared" si="42"/>
        <v>16.573419731158928</v>
      </c>
      <c r="F117" s="340">
        <f>C117*44/12+_xlfn.XLOOKUP(TULEMUSED!$D$4,'AR väärtused'!$B$4,'AR väärtused'!$C$4)*D117/1000+_xlfn.XLOOKUP(TULEMUSED!$D$4,'AR väärtused'!$B$4,'AR väärtused'!$D$4)*E117/1000</f>
        <v>813.98256792156189</v>
      </c>
      <c r="G117" s="335">
        <f t="shared" si="38"/>
        <v>2.9303372445176228</v>
      </c>
      <c r="H117" s="363" t="s">
        <v>2016</v>
      </c>
      <c r="I117" s="323" t="s">
        <v>1953</v>
      </c>
    </row>
    <row r="118" spans="2:9" ht="15" customHeight="1">
      <c r="B118" s="323" t="s">
        <v>330</v>
      </c>
      <c r="C118" s="333">
        <f t="shared" ref="C118:E118" si="43">C100/3.6*45.5</f>
        <v>219.74070804445472</v>
      </c>
      <c r="D118" s="333">
        <f t="shared" si="43"/>
        <v>133.11037381370133</v>
      </c>
      <c r="E118" s="333">
        <f t="shared" si="43"/>
        <v>16.573419731158928</v>
      </c>
      <c r="F118" s="340">
        <f>C118*44/12+_xlfn.XLOOKUP(TULEMUSED!$D$4,'AR väärtused'!$B$4,'AR väärtused'!$C$4)*D118/1000+_xlfn.XLOOKUP(TULEMUSED!$D$4,'AR väärtused'!$B$4,'AR väärtused'!$D$4)*E118/1000</f>
        <v>813.98256792156189</v>
      </c>
      <c r="G118" s="335">
        <f t="shared" si="38"/>
        <v>2.9303372445176228</v>
      </c>
      <c r="H118" s="363" t="s">
        <v>2016</v>
      </c>
      <c r="I118" s="323" t="s">
        <v>1962</v>
      </c>
    </row>
    <row r="119" spans="2:9" ht="15" customHeight="1">
      <c r="C119" s="365"/>
      <c r="D119" s="365"/>
      <c r="E119" s="365"/>
      <c r="F119" s="365"/>
      <c r="G119" s="365"/>
    </row>
    <row r="120" spans="2:9" ht="15" customHeight="1">
      <c r="B120" s="373"/>
      <c r="G120" s="374"/>
      <c r="H120" s="375"/>
      <c r="I120" s="364"/>
    </row>
    <row r="121" spans="2:9" ht="15" customHeight="1">
      <c r="B121" s="320" t="s">
        <v>2269</v>
      </c>
      <c r="C121" s="329"/>
      <c r="D121" s="329"/>
      <c r="E121" s="329"/>
      <c r="F121" s="329"/>
      <c r="G121" s="329"/>
      <c r="H121" s="329"/>
      <c r="I121" s="780"/>
    </row>
    <row r="122" spans="2:9" ht="15" customHeight="1">
      <c r="B122" s="376" t="s">
        <v>2262</v>
      </c>
      <c r="C122" s="792" t="s">
        <v>485</v>
      </c>
      <c r="D122" s="792" t="s">
        <v>2148</v>
      </c>
      <c r="E122" s="792" t="s">
        <v>2149</v>
      </c>
      <c r="F122" s="792" t="s">
        <v>2150</v>
      </c>
      <c r="G122" s="494" t="s">
        <v>1938</v>
      </c>
      <c r="H122" s="405" t="s">
        <v>81</v>
      </c>
      <c r="I122" s="406" t="s">
        <v>142</v>
      </c>
    </row>
    <row r="123" spans="2:9" ht="15" customHeight="1">
      <c r="B123" s="382" t="s">
        <v>1705</v>
      </c>
      <c r="C123" s="379">
        <v>7660306602.3444614</v>
      </c>
      <c r="D123" s="380">
        <v>1368.9027543037982</v>
      </c>
      <c r="E123" s="381">
        <v>8.0085795562816406E-2</v>
      </c>
      <c r="F123" s="381">
        <v>4.0556807059059147E-2</v>
      </c>
      <c r="G123" s="335">
        <f>(D123+_xlfn.XLOOKUP(TULEMUSED!$D$4,'AR väärtused'!$B$4,'AR väärtused'!$C$4)*E123+_xlfn.XLOOKUP(TULEMUSED!$D$4,'AR väärtused'!$B$4,'AR väärtused'!$D$4)*F123)*10^6/C123</f>
        <v>0.18053987907914804</v>
      </c>
      <c r="H123" s="337" t="s">
        <v>2017</v>
      </c>
      <c r="I123" s="323" t="s">
        <v>2344</v>
      </c>
    </row>
    <row r="124" spans="2:9" ht="15" customHeight="1">
      <c r="B124" s="378" t="s">
        <v>1703</v>
      </c>
      <c r="C124" s="379">
        <v>1753161772.9878268</v>
      </c>
      <c r="D124" s="380">
        <v>332.72190908849512</v>
      </c>
      <c r="E124" s="381">
        <v>4.457580864477631E-2</v>
      </c>
      <c r="F124" s="381">
        <v>4.6403415735313553E-3</v>
      </c>
      <c r="G124" s="335">
        <f>(D124+_xlfn.XLOOKUP(TULEMUSED!$D$4,'AR väärtused'!$B$4,'AR väärtused'!$C$4)*E124+_xlfn.XLOOKUP(TULEMUSED!$D$4,'AR väärtused'!$B$4,'AR väärtused'!$D$4)*F124)*10^6/C124</f>
        <v>0.19120832501511228</v>
      </c>
      <c r="H124" s="337" t="s">
        <v>2017</v>
      </c>
      <c r="I124" s="323" t="s">
        <v>1941</v>
      </c>
    </row>
    <row r="125" spans="2:9" ht="15" customHeight="1">
      <c r="B125" s="378" t="s">
        <v>1698</v>
      </c>
      <c r="C125" s="379">
        <v>493688984.89825708</v>
      </c>
      <c r="D125" s="380">
        <v>119.59264696255987</v>
      </c>
      <c r="E125" s="381">
        <v>1.4537378574828126E-2</v>
      </c>
      <c r="F125" s="381">
        <v>1.7467023208926559E-3</v>
      </c>
      <c r="G125" s="335">
        <f>(D125+_xlfn.XLOOKUP(TULEMUSED!$D$4,'AR väärtused'!$B$4,'AR väärtused'!$C$4)*E125+_xlfn.XLOOKUP(TULEMUSED!$D$4,'AR väärtused'!$B$4,'AR väärtused'!$D$4)*F125)*10^6/C125</f>
        <v>0.24403339431076276</v>
      </c>
      <c r="H125" s="337" t="s">
        <v>2017</v>
      </c>
      <c r="I125" s="323" t="s">
        <v>1941</v>
      </c>
    </row>
    <row r="126" spans="2:9" ht="15" customHeight="1">
      <c r="B126" s="378" t="s">
        <v>1704</v>
      </c>
      <c r="C126" s="379">
        <v>3007334297.6365356</v>
      </c>
      <c r="D126" s="380">
        <v>574.56887730348797</v>
      </c>
      <c r="E126" s="381">
        <v>7.5396054840334265E-2</v>
      </c>
      <c r="F126" s="381">
        <v>7.531608183188019E-3</v>
      </c>
      <c r="G126" s="335">
        <f>(D126+_xlfn.XLOOKUP(TULEMUSED!$D$4,'AR väärtused'!$B$4,'AR väärtused'!$C$4)*E126+_xlfn.XLOOKUP(TULEMUSED!$D$4,'AR väärtused'!$B$4,'AR väärtused'!$D$4)*F126)*10^6/C126</f>
        <v>0.1924289555597079</v>
      </c>
      <c r="H126" s="337" t="s">
        <v>2017</v>
      </c>
      <c r="I126" s="323" t="s">
        <v>2340</v>
      </c>
    </row>
    <row r="127" spans="2:9" ht="15" customHeight="1">
      <c r="B127" s="378" t="s">
        <v>1699</v>
      </c>
      <c r="C127" s="379">
        <v>760483539.75045097</v>
      </c>
      <c r="D127" s="380">
        <v>122.254321252433</v>
      </c>
      <c r="E127" s="381">
        <v>1.6282867620729814E-2</v>
      </c>
      <c r="F127" s="381">
        <v>1.1445642887640073E-3</v>
      </c>
      <c r="G127" s="335">
        <f>(D127+_xlfn.XLOOKUP(TULEMUSED!$D$4,'AR väärtused'!$B$4,'AR väärtused'!$C$4)*E127+_xlfn.XLOOKUP(TULEMUSED!$D$4,'AR väärtused'!$B$4,'AR väärtused'!$D$4)*F127)*10^6/C127</f>
        <v>0.16174245288907316</v>
      </c>
      <c r="H127" s="337" t="s">
        <v>2017</v>
      </c>
      <c r="I127" s="323" t="s">
        <v>1941</v>
      </c>
    </row>
    <row r="128" spans="2:9" ht="15" customHeight="1">
      <c r="B128" s="383" t="s">
        <v>1707</v>
      </c>
      <c r="C128" s="379">
        <v>2579504739.9597011</v>
      </c>
      <c r="D128" s="380">
        <v>383.04282931303277</v>
      </c>
      <c r="E128" s="381">
        <v>2.2460977707988335E-3</v>
      </c>
      <c r="F128" s="381">
        <v>1.8118884625464411E-2</v>
      </c>
      <c r="G128" s="335">
        <f>(D128+_xlfn.XLOOKUP(TULEMUSED!$D$4,'AR väärtused'!$B$4,'AR väärtused'!$C$4)*E128+_xlfn.XLOOKUP(TULEMUSED!$D$4,'AR väärtused'!$B$4,'AR väärtused'!$D$4)*F128)*10^6/C128</f>
        <v>0.15060969005304506</v>
      </c>
      <c r="H128" s="337" t="s">
        <v>2017</v>
      </c>
      <c r="I128" s="323" t="s">
        <v>1941</v>
      </c>
    </row>
    <row r="129" spans="2:9" ht="15" customHeight="1">
      <c r="B129" s="378" t="s">
        <v>1700</v>
      </c>
      <c r="C129" s="379">
        <v>2030828042.2134192</v>
      </c>
      <c r="D129" s="380">
        <v>404.97380545309801</v>
      </c>
      <c r="E129" s="381">
        <v>2.4237535370090478E-3</v>
      </c>
      <c r="F129" s="381">
        <v>1.4585801596754683E-2</v>
      </c>
      <c r="G129" s="335">
        <f>(D129+_xlfn.XLOOKUP(TULEMUSED!$D$4,'AR väärtused'!$B$4,'AR väärtused'!$C$4)*E129+_xlfn.XLOOKUP(TULEMUSED!$D$4,'AR väärtused'!$B$4,'AR väärtused'!$D$4)*F129)*10^6/C129</f>
        <v>0.20158327522460634</v>
      </c>
      <c r="H129" s="337" t="s">
        <v>2017</v>
      </c>
      <c r="I129" s="323" t="s">
        <v>1941</v>
      </c>
    </row>
    <row r="130" spans="2:9" ht="15" customHeight="1">
      <c r="B130" s="383" t="s">
        <v>1706</v>
      </c>
      <c r="C130" s="379">
        <v>4652972304.7079258</v>
      </c>
      <c r="D130" s="380">
        <v>794.33387700031017</v>
      </c>
      <c r="E130" s="381">
        <v>4.6897407224821414E-3</v>
      </c>
      <c r="F130" s="381">
        <v>3.3025198875871131E-2</v>
      </c>
      <c r="G130" s="335">
        <f>(D130+_xlfn.XLOOKUP(TULEMUSED!$D$4,'AR väärtused'!$B$4,'AR väärtused'!$C$4)*E130+_xlfn.XLOOKUP(TULEMUSED!$D$4,'AR väärtused'!$B$4,'AR väärtused'!$D$4)*F130)*10^6/C130</f>
        <v>0.17285566668204541</v>
      </c>
      <c r="H130" s="337" t="s">
        <v>2017</v>
      </c>
      <c r="I130" s="323" t="s">
        <v>2341</v>
      </c>
    </row>
    <row r="131" spans="2:9" ht="15" customHeight="1">
      <c r="B131" s="383" t="s">
        <v>1701</v>
      </c>
      <c r="C131" s="379">
        <v>42639522.534805164</v>
      </c>
      <c r="D131" s="380">
        <v>6.3172422341794316</v>
      </c>
      <c r="E131" s="381">
        <v>1.9889414674259044E-5</v>
      </c>
      <c r="F131" s="381">
        <v>3.2051265365204618E-4</v>
      </c>
      <c r="G131" s="335">
        <f>(D131+_xlfn.XLOOKUP(TULEMUSED!$D$4,'AR väärtused'!$B$4,'AR väärtused'!$C$4)*E131+_xlfn.XLOOKUP(TULEMUSED!$D$4,'AR väärtused'!$B$4,'AR väärtused'!$D$4)*F131)*10^6/C131</f>
        <v>0.15040628644703238</v>
      </c>
      <c r="H131" s="337" t="s">
        <v>2017</v>
      </c>
      <c r="I131" s="323" t="s">
        <v>1941</v>
      </c>
    </row>
    <row r="132" spans="2:9" ht="15" customHeight="1">
      <c r="B132" s="384" t="s">
        <v>1708</v>
      </c>
      <c r="C132" s="379">
        <v>85423921.867673472</v>
      </c>
      <c r="D132" s="380">
        <v>10.152626945571914</v>
      </c>
      <c r="E132" s="381">
        <v>1.6285241322075545E-3</v>
      </c>
      <c r="F132" s="381">
        <v>1.5760485587910491E-4</v>
      </c>
      <c r="G132" s="335">
        <f>(D132+_xlfn.XLOOKUP(TULEMUSED!$D$4,'AR väärtused'!$B$4,'AR väärtused'!$C$4)*E132+_xlfn.XLOOKUP(TULEMUSED!$D$4,'AR väärtused'!$B$4,'AR väärtused'!$D$4)*F132)*10^6/C132</f>
        <v>0.11987633056454484</v>
      </c>
      <c r="H132" s="337" t="s">
        <v>2017</v>
      </c>
      <c r="I132" s="323" t="s">
        <v>1941</v>
      </c>
    </row>
    <row r="133" spans="2:9" ht="15" customHeight="1">
      <c r="B133" s="384" t="s">
        <v>1709</v>
      </c>
      <c r="C133" s="379">
        <v>5989702.5613455428</v>
      </c>
      <c r="D133" s="380">
        <v>0.71209059374577899</v>
      </c>
      <c r="E133" s="381">
        <v>1.1418786392184968E-4</v>
      </c>
      <c r="F133" s="381">
        <v>1.1050841360361438E-5</v>
      </c>
      <c r="G133" s="335">
        <f>(D133+_xlfn.XLOOKUP(TULEMUSED!$D$4,'AR väärtused'!$B$4,'AR väärtused'!$C$4)*E133+_xlfn.XLOOKUP(TULEMUSED!$D$4,'AR väärtused'!$B$4,'AR väärtused'!$D$4)*F133)*10^6/C133</f>
        <v>0.1199122049405849</v>
      </c>
      <c r="H133" s="337" t="s">
        <v>2017</v>
      </c>
      <c r="I133" s="323" t="s">
        <v>1941</v>
      </c>
    </row>
    <row r="134" spans="2:9" ht="15" customHeight="1">
      <c r="B134" s="384" t="s">
        <v>1710</v>
      </c>
      <c r="C134" s="379">
        <v>151424100.5107345</v>
      </c>
      <c r="D134" s="380">
        <v>18.390861166563557</v>
      </c>
      <c r="E134" s="381">
        <v>2.886753458376069E-3</v>
      </c>
      <c r="F134" s="381">
        <v>2.7937342392902461E-4</v>
      </c>
      <c r="G134" s="335">
        <f>(D134+_xlfn.XLOOKUP(TULEMUSED!$D$4,'AR väärtused'!$B$4,'AR väärtused'!$C$4)*E134+_xlfn.XLOOKUP(TULEMUSED!$D$4,'AR väärtused'!$B$4,'AR väärtused'!$D$4)*F134)*10^6/C134</f>
        <v>0.12247907183070279</v>
      </c>
      <c r="H134" s="337" t="s">
        <v>2017</v>
      </c>
      <c r="I134" s="427" t="s">
        <v>2342</v>
      </c>
    </row>
    <row r="135" spans="2:9" ht="15" customHeight="1">
      <c r="B135" s="384" t="s">
        <v>1711</v>
      </c>
      <c r="C135" s="379">
        <v>60010476.081715532</v>
      </c>
      <c r="D135" s="380">
        <v>7.5261436272458608</v>
      </c>
      <c r="E135" s="381">
        <v>1.1440414622466647E-3</v>
      </c>
      <c r="F135" s="381">
        <v>1.1071772668955825E-4</v>
      </c>
      <c r="G135" s="335">
        <f>(D135+_xlfn.XLOOKUP(TULEMUSED!$D$4,'AR väärtused'!$B$4,'AR väärtused'!$C$4)*E135+_xlfn.XLOOKUP(TULEMUSED!$D$4,'AR väärtused'!$B$4,'AR väärtused'!$D$4)*F135)*10^6/C135</f>
        <v>0.12644023246913397</v>
      </c>
      <c r="H135" s="337" t="s">
        <v>2017</v>
      </c>
      <c r="I135" s="323" t="s">
        <v>1941</v>
      </c>
    </row>
    <row r="136" spans="2:9" ht="15" customHeight="1">
      <c r="B136" s="382" t="s">
        <v>1702</v>
      </c>
      <c r="C136" s="379">
        <v>8121792884.9024372</v>
      </c>
      <c r="D136" s="380">
        <v>1435.7542930421771</v>
      </c>
      <c r="E136" s="381">
        <v>8.7799650296917081E-2</v>
      </c>
      <c r="F136" s="381">
        <v>4.1502198681943436E-2</v>
      </c>
      <c r="G136" s="335">
        <f>(D136+_xlfn.XLOOKUP(TULEMUSED!$D$4,'AR väärtused'!$B$4,'AR väärtused'!$C$4)*E136+_xlfn.XLOOKUP(TULEMUSED!$D$4,'AR väärtused'!$B$4,'AR väärtused'!$D$4)*F136)*10^6/C136</f>
        <v>0.17857103229051885</v>
      </c>
      <c r="H136" s="337" t="s">
        <v>2017</v>
      </c>
      <c r="I136" s="323" t="s">
        <v>2343</v>
      </c>
    </row>
    <row r="137" spans="2:9" ht="15" customHeight="1">
      <c r="B137" s="383" t="s">
        <v>2213</v>
      </c>
      <c r="C137" s="379">
        <v>19419117.115863044</v>
      </c>
      <c r="D137" s="380">
        <v>2.4388081333374609</v>
      </c>
      <c r="E137" s="381">
        <v>3.7020661376722898E-4</v>
      </c>
      <c r="F137" s="381">
        <v>3.5827752782013653E-5</v>
      </c>
      <c r="G137" s="335">
        <f>G126*0.75</f>
        <v>0.14432171666978094</v>
      </c>
      <c r="H137" s="337" t="s">
        <v>2017</v>
      </c>
      <c r="I137" s="332" t="s">
        <v>2215</v>
      </c>
    </row>
    <row r="138" spans="2:9" ht="15" customHeight="1">
      <c r="B138" s="862" t="s">
        <v>2211</v>
      </c>
      <c r="C138" s="863">
        <v>19419117.115863044</v>
      </c>
      <c r="D138" s="864">
        <v>2.4388081333374609</v>
      </c>
      <c r="E138" s="351">
        <v>3.7020661376722898E-4</v>
      </c>
      <c r="F138" s="351">
        <v>3.5827752782013653E-5</v>
      </c>
      <c r="G138" s="335">
        <f>G126*0.75</f>
        <v>0.14432171666978094</v>
      </c>
      <c r="H138" s="337" t="s">
        <v>2017</v>
      </c>
      <c r="I138" s="332" t="s">
        <v>2222</v>
      </c>
    </row>
    <row r="139" spans="2:9" ht="15" customHeight="1">
      <c r="B139" s="862" t="s">
        <v>2214</v>
      </c>
      <c r="C139" s="863">
        <v>12285356.399931636</v>
      </c>
      <c r="D139" s="864">
        <v>1.840362809214563</v>
      </c>
      <c r="E139" s="351">
        <v>3.5934667469800026E-7</v>
      </c>
      <c r="F139" s="351">
        <v>7.5312353574058988E-5</v>
      </c>
      <c r="G139" s="335">
        <f>G130*0.75</f>
        <v>0.12964175001153405</v>
      </c>
      <c r="H139" s="337" t="s">
        <v>2017</v>
      </c>
      <c r="I139" s="332" t="s">
        <v>2215</v>
      </c>
    </row>
    <row r="140" spans="2:9" ht="15" customHeight="1">
      <c r="B140" s="862" t="s">
        <v>2212</v>
      </c>
      <c r="C140" s="863">
        <v>12285356.399931636</v>
      </c>
      <c r="D140" s="864">
        <v>1.840362809214563</v>
      </c>
      <c r="E140" s="351">
        <v>3.5934667469800026E-7</v>
      </c>
      <c r="F140" s="351">
        <v>7.5312353574058988E-5</v>
      </c>
      <c r="G140" s="335">
        <f>G130*0.75</f>
        <v>0.12964175001153405</v>
      </c>
      <c r="H140" s="337" t="s">
        <v>2017</v>
      </c>
      <c r="I140" s="332" t="s">
        <v>2222</v>
      </c>
    </row>
    <row r="141" spans="2:9" ht="15" customHeight="1">
      <c r="B141" s="382" t="s">
        <v>1508</v>
      </c>
      <c r="C141" s="379">
        <v>110462131.91222186</v>
      </c>
      <c r="D141" s="380">
        <v>0</v>
      </c>
      <c r="E141" s="381">
        <v>2.9402505174710974E-3</v>
      </c>
      <c r="F141" s="381">
        <v>4.5335002552064183E-5</v>
      </c>
      <c r="G141" s="335">
        <f>(D141+_xlfn.XLOOKUP(TULEMUSED!$D$4,'AR väärtused'!$B$4,'AR väärtused'!$C$4)*E141+_xlfn.XLOOKUP(TULEMUSED!$D$4,'AR väärtused'!$B$4,'AR väärtused'!$D$4)*F141)*10^6/C141</f>
        <v>7.8774591971879945E-4</v>
      </c>
      <c r="H141" s="337" t="s">
        <v>2017</v>
      </c>
      <c r="I141" s="332" t="s">
        <v>1894</v>
      </c>
    </row>
    <row r="142" spans="2:9" ht="15" customHeight="1">
      <c r="B142" s="382" t="s">
        <v>92</v>
      </c>
      <c r="C142" s="379">
        <v>110462131.91222186</v>
      </c>
      <c r="D142" s="380">
        <v>17.206137309725243</v>
      </c>
      <c r="E142" s="381">
        <v>2.9402505174710974E-3</v>
      </c>
      <c r="F142" s="381">
        <v>4.5335002552064183E-5</v>
      </c>
      <c r="G142" s="335">
        <f>(D142+_xlfn.XLOOKUP(TULEMUSED!$D$4,'AR väärtused'!$B$4,'AR väärtused'!$C$4)*E142+_xlfn.XLOOKUP(TULEMUSED!$D$4,'AR väärtused'!$B$4,'AR väärtused'!$D$4)*F142)*10^6/C142</f>
        <v>0.15655277608768631</v>
      </c>
      <c r="H142" s="337" t="s">
        <v>2017</v>
      </c>
      <c r="I142" s="323" t="s">
        <v>1941</v>
      </c>
    </row>
    <row r="143" spans="2:9" ht="15" customHeight="1">
      <c r="B143" s="382" t="s">
        <v>338</v>
      </c>
      <c r="C143" s="379">
        <v>1</v>
      </c>
      <c r="D143" s="380">
        <v>0</v>
      </c>
      <c r="E143" s="381">
        <v>0</v>
      </c>
      <c r="F143" s="381">
        <v>0</v>
      </c>
      <c r="G143" s="335">
        <f>(D143+_xlfn.XLOOKUP(TULEMUSED!$D$4,'AR väärtused'!$B$4,'AR väärtused'!$C$4)*E143+_xlfn.XLOOKUP(TULEMUSED!$D$4,'AR väärtused'!$B$4,'AR väärtused'!$D$4)*F143)*10^6/C143</f>
        <v>0</v>
      </c>
      <c r="H143" s="337" t="s">
        <v>2017</v>
      </c>
      <c r="I143" s="323" t="s">
        <v>146</v>
      </c>
    </row>
    <row r="144" spans="2:9" ht="15" customHeight="1">
      <c r="B144" s="382" t="s">
        <v>335</v>
      </c>
      <c r="C144" s="379">
        <v>167895576.61922288</v>
      </c>
      <c r="D144" s="380">
        <v>26.975369319537272</v>
      </c>
      <c r="E144" s="381">
        <v>4.4565353152827211E-3</v>
      </c>
      <c r="F144" s="381">
        <v>5.5487809259920106E-4</v>
      </c>
      <c r="G144" s="335">
        <f>(D144+_xlfn.XLOOKUP(TULEMUSED!$D$4,'AR väärtused'!$B$4,'AR väärtused'!$C$4)*E144+_xlfn.XLOOKUP(TULEMUSED!$D$4,'AR väärtused'!$B$4,'AR väärtused'!$D$4)*F144)*10^6/C144</f>
        <v>0.16231598784654178</v>
      </c>
      <c r="H144" s="337" t="s">
        <v>2017</v>
      </c>
      <c r="I144" s="323" t="s">
        <v>1941</v>
      </c>
    </row>
    <row r="146" spans="2:9" ht="15" customHeight="1">
      <c r="B146" s="826" t="s">
        <v>1934</v>
      </c>
    </row>
    <row r="147" spans="2:9" ht="15" customHeight="1">
      <c r="B147" s="320" t="s">
        <v>344</v>
      </c>
      <c r="C147" s="385"/>
      <c r="D147" s="385"/>
      <c r="E147" s="385"/>
      <c r="F147" s="385"/>
      <c r="G147" s="385"/>
      <c r="H147" s="385"/>
      <c r="I147" s="781"/>
    </row>
    <row r="148" spans="2:9" ht="15" customHeight="1">
      <c r="B148" s="387" t="s">
        <v>1842</v>
      </c>
      <c r="C148" s="792" t="s">
        <v>485</v>
      </c>
      <c r="D148" s="792" t="s">
        <v>2148</v>
      </c>
      <c r="E148" s="792" t="s">
        <v>2149</v>
      </c>
      <c r="F148" s="792" t="s">
        <v>2150</v>
      </c>
      <c r="G148" s="494" t="s">
        <v>1938</v>
      </c>
      <c r="H148" s="454" t="s">
        <v>81</v>
      </c>
      <c r="I148" s="454" t="s">
        <v>142</v>
      </c>
    </row>
    <row r="149" spans="2:9" ht="15" customHeight="1">
      <c r="B149" s="389" t="s">
        <v>1520</v>
      </c>
      <c r="C149" s="379">
        <v>92087624.58257401</v>
      </c>
      <c r="D149" s="380">
        <v>21.131382200297182</v>
      </c>
      <c r="E149" s="381">
        <v>1.9939357551233086E-3</v>
      </c>
      <c r="F149" s="381">
        <v>3.3188728264861627E-4</v>
      </c>
      <c r="G149" s="335">
        <f>(D149+_xlfn.XLOOKUP(TULEMUSED!$D$4,'AR väärtused'!$B$4,'AR väärtused'!$C$4)*E149+_xlfn.XLOOKUP(TULEMUSED!$D$4,'AR väärtused'!$B$4,'AR väärtused'!$D$4)*F149)*10^6/C149</f>
        <v>0.23108569800628181</v>
      </c>
      <c r="H149" s="390" t="s">
        <v>2017</v>
      </c>
      <c r="I149" s="323" t="s">
        <v>1941</v>
      </c>
    </row>
    <row r="150" spans="2:9" ht="15" customHeight="1">
      <c r="B150" s="389" t="s">
        <v>1519</v>
      </c>
      <c r="C150" s="391"/>
      <c r="D150" s="392"/>
      <c r="E150" s="348"/>
      <c r="F150" s="348"/>
      <c r="G150" s="791">
        <f>G149/1.2</f>
        <v>0.19257141500523486</v>
      </c>
      <c r="H150" s="390" t="s">
        <v>2018</v>
      </c>
      <c r="I150" s="323" t="s">
        <v>346</v>
      </c>
    </row>
    <row r="151" spans="2:9" ht="15" customHeight="1">
      <c r="B151" s="389" t="s">
        <v>1640</v>
      </c>
      <c r="C151" s="379">
        <v>1252135118.9010825</v>
      </c>
      <c r="D151" s="380">
        <v>267.88267579755075</v>
      </c>
      <c r="E151" s="381">
        <v>2.9010760086781032E-3</v>
      </c>
      <c r="F151" s="381">
        <v>8.4893923239496745E-3</v>
      </c>
      <c r="G151" s="335">
        <f>(D151+_xlfn.XLOOKUP(TULEMUSED!$D$4,'AR väärtused'!$B$4,'AR väärtused'!$C$4)*E151+_xlfn.XLOOKUP(TULEMUSED!$D$4,'AR väärtused'!$B$4,'AR väärtused'!$D$4)*F151)*10^6/C151</f>
        <v>0.21601905219916823</v>
      </c>
      <c r="H151" s="390" t="s">
        <v>2017</v>
      </c>
      <c r="I151" s="323" t="s">
        <v>1963</v>
      </c>
    </row>
    <row r="152" spans="2:9" ht="15" customHeight="1">
      <c r="B152" s="389" t="s">
        <v>1639</v>
      </c>
      <c r="C152" s="391"/>
      <c r="D152" s="392"/>
      <c r="E152" s="348"/>
      <c r="F152" s="348"/>
      <c r="G152" s="791">
        <f>G151/1.2</f>
        <v>0.1800158768326402</v>
      </c>
      <c r="H152" s="390" t="s">
        <v>2018</v>
      </c>
      <c r="I152" s="323" t="s">
        <v>346</v>
      </c>
    </row>
    <row r="153" spans="2:9" ht="15" customHeight="1">
      <c r="B153" s="389" t="s">
        <v>1528</v>
      </c>
      <c r="C153" s="391"/>
      <c r="D153" s="392"/>
      <c r="E153" s="348"/>
      <c r="F153" s="348"/>
      <c r="G153" s="791">
        <f>G157/'HT-Sõidukikütused (M1)'!$C$9*'HT-Sõidukikütused (M1)'!$C$6</f>
        <v>1.1544912347397853E-2</v>
      </c>
      <c r="H153" s="390" t="s">
        <v>2017</v>
      </c>
      <c r="I153" s="323" t="s">
        <v>1941</v>
      </c>
    </row>
    <row r="154" spans="2:9" ht="15" customHeight="1">
      <c r="B154" s="389" t="s">
        <v>1523</v>
      </c>
      <c r="C154" s="391"/>
      <c r="D154" s="392"/>
      <c r="E154" s="348"/>
      <c r="F154" s="348"/>
      <c r="G154" s="791">
        <f>G153/1.2</f>
        <v>9.6207602894982109E-3</v>
      </c>
      <c r="H154" s="390" t="s">
        <v>2018</v>
      </c>
      <c r="I154" s="323" t="s">
        <v>346</v>
      </c>
    </row>
    <row r="155" spans="2:9" ht="15" customHeight="1">
      <c r="B155" s="389" t="s">
        <v>1527</v>
      </c>
      <c r="C155" s="391"/>
      <c r="D155" s="392"/>
      <c r="E155" s="348"/>
      <c r="F155" s="348"/>
      <c r="G155" s="791">
        <f>G157/'HT-Sõidukikütused (M1)'!$C$9*'HT-Sõidukikütused (M1)'!$C$7</f>
        <v>2.8458141120445779E-3</v>
      </c>
      <c r="H155" s="390" t="s">
        <v>2017</v>
      </c>
      <c r="I155" s="323" t="s">
        <v>1941</v>
      </c>
    </row>
    <row r="156" spans="2:9" ht="15" customHeight="1">
      <c r="B156" s="389" t="s">
        <v>1522</v>
      </c>
      <c r="C156" s="391"/>
      <c r="D156" s="392"/>
      <c r="E156" s="348"/>
      <c r="F156" s="348"/>
      <c r="G156" s="791">
        <f>G155/1.2</f>
        <v>2.3715117600371484E-3</v>
      </c>
      <c r="H156" s="390" t="s">
        <v>2018</v>
      </c>
      <c r="I156" s="323" t="s">
        <v>346</v>
      </c>
    </row>
    <row r="157" spans="2:9" ht="15" customHeight="1">
      <c r="B157" s="389" t="s">
        <v>1526</v>
      </c>
      <c r="C157" s="379">
        <v>1160047494.3185084</v>
      </c>
      <c r="D157" s="380">
        <v>246.75129359725355</v>
      </c>
      <c r="E157" s="381">
        <v>9.0714025355479485E-4</v>
      </c>
      <c r="F157" s="381">
        <v>8.157505041301057E-3</v>
      </c>
      <c r="G157" s="335">
        <f>(D157+_xlfn.XLOOKUP(TULEMUSED!$D$4,'AR väärtused'!$B$4,'AR väärtused'!$C$4)*E157+_xlfn.XLOOKUP(TULEMUSED!$D$4,'AR väärtused'!$B$4,'AR väärtused'!$D$4)*F157)*10^6/C157</f>
        <v>0.21482302218350141</v>
      </c>
      <c r="H157" s="390" t="s">
        <v>2017</v>
      </c>
      <c r="I157" s="323" t="s">
        <v>1941</v>
      </c>
    </row>
    <row r="158" spans="2:9" ht="15" customHeight="1">
      <c r="B158" s="389" t="s">
        <v>1521</v>
      </c>
      <c r="C158" s="391"/>
      <c r="D158" s="392"/>
      <c r="E158" s="348"/>
      <c r="F158" s="348"/>
      <c r="G158" s="791">
        <f>G157/1.2</f>
        <v>0.17901918515291784</v>
      </c>
      <c r="H158" s="390" t="s">
        <v>2018</v>
      </c>
      <c r="I158" s="323" t="s">
        <v>346</v>
      </c>
    </row>
    <row r="159" spans="2:9" ht="15" customHeight="1">
      <c r="B159" s="389" t="s">
        <v>1529</v>
      </c>
      <c r="C159" s="391"/>
      <c r="D159" s="392"/>
      <c r="E159" s="348"/>
      <c r="F159" s="348"/>
      <c r="G159" s="791">
        <v>0</v>
      </c>
      <c r="H159" s="390" t="s">
        <v>2017</v>
      </c>
      <c r="I159" s="323" t="s">
        <v>146</v>
      </c>
    </row>
    <row r="160" spans="2:9" ht="15" customHeight="1">
      <c r="B160" s="389" t="s">
        <v>1524</v>
      </c>
      <c r="C160" s="391"/>
      <c r="D160" s="392"/>
      <c r="E160" s="348"/>
      <c r="F160" s="348"/>
      <c r="G160" s="791">
        <v>0</v>
      </c>
      <c r="H160" s="390" t="s">
        <v>2018</v>
      </c>
      <c r="I160" s="323" t="s">
        <v>146</v>
      </c>
    </row>
    <row r="161" spans="2:9" ht="15" customHeight="1">
      <c r="B161" s="393" t="s">
        <v>1530</v>
      </c>
      <c r="C161" s="391"/>
      <c r="D161" s="392"/>
      <c r="E161" s="348"/>
      <c r="F161" s="348"/>
      <c r="G161" s="791">
        <f>0.25*'HT-Energia (M1, M2)'!$C$58</f>
        <v>0.15914500000000001</v>
      </c>
      <c r="H161" s="390" t="s">
        <v>2017</v>
      </c>
      <c r="I161" s="323" t="s">
        <v>2216</v>
      </c>
    </row>
    <row r="162" spans="2:9" ht="15" customHeight="1">
      <c r="B162" s="393" t="s">
        <v>1525</v>
      </c>
      <c r="C162" s="391"/>
      <c r="D162" s="392"/>
      <c r="E162" s="348"/>
      <c r="F162" s="348"/>
      <c r="G162" s="791">
        <f>G161/1.2</f>
        <v>0.13262083333333335</v>
      </c>
      <c r="H162" s="390" t="s">
        <v>2018</v>
      </c>
      <c r="I162" s="323" t="s">
        <v>1879</v>
      </c>
    </row>
    <row r="163" spans="2:9" ht="15" customHeight="1">
      <c r="B163" s="394"/>
      <c r="C163" s="395"/>
      <c r="D163" s="395"/>
      <c r="E163" s="395"/>
      <c r="F163" s="395"/>
      <c r="G163" s="395"/>
      <c r="H163" s="396"/>
    </row>
    <row r="164" spans="2:9" ht="15" customHeight="1">
      <c r="B164" s="394"/>
      <c r="C164" s="397"/>
      <c r="D164" s="397"/>
      <c r="E164" s="397"/>
      <c r="F164" s="397"/>
      <c r="G164" s="397"/>
      <c r="H164" s="398"/>
    </row>
    <row r="165" spans="2:9" ht="15" customHeight="1">
      <c r="B165" s="991" t="s">
        <v>1843</v>
      </c>
      <c r="C165" s="399" t="s">
        <v>126</v>
      </c>
      <c r="D165" s="400"/>
      <c r="E165" s="401"/>
      <c r="F165" s="999" t="s">
        <v>81</v>
      </c>
      <c r="G165" s="993" t="s">
        <v>142</v>
      </c>
      <c r="H165" s="994"/>
      <c r="I165" s="995"/>
    </row>
    <row r="166" spans="2:9" ht="15" customHeight="1">
      <c r="B166" s="992"/>
      <c r="C166" s="405" t="s">
        <v>347</v>
      </c>
      <c r="D166" s="406" t="s">
        <v>348</v>
      </c>
      <c r="E166" s="405" t="s">
        <v>349</v>
      </c>
      <c r="F166" s="1000"/>
      <c r="G166" s="996"/>
      <c r="H166" s="997"/>
      <c r="I166" s="998"/>
    </row>
    <row r="167" spans="2:9" ht="15" customHeight="1">
      <c r="B167" s="408" t="s">
        <v>1550</v>
      </c>
      <c r="C167" s="409"/>
      <c r="D167" s="409"/>
      <c r="E167" s="410">
        <f>E171/'HT-Sõidukikütused (M1)'!$C$9*'HT-Sõidukikütused (M1)'!$C$6</f>
        <v>2.6663324107032472E-2</v>
      </c>
      <c r="F167" s="390" t="s">
        <v>2017</v>
      </c>
      <c r="G167" s="411" t="s">
        <v>351</v>
      </c>
      <c r="H167" s="412"/>
      <c r="I167" s="326"/>
    </row>
    <row r="168" spans="2:9" ht="15" customHeight="1">
      <c r="B168" s="408" t="s">
        <v>1549</v>
      </c>
      <c r="C168" s="410">
        <f>D168/0.5</f>
        <v>5.9251831348961052E-3</v>
      </c>
      <c r="D168" s="410">
        <f>E167/9</f>
        <v>2.9625915674480526E-3</v>
      </c>
      <c r="E168" s="409"/>
      <c r="F168" s="390" t="s">
        <v>2018</v>
      </c>
      <c r="G168" s="411" t="s">
        <v>352</v>
      </c>
      <c r="H168" s="412"/>
      <c r="I168" s="326"/>
    </row>
    <row r="169" spans="2:9" ht="15" customHeight="1">
      <c r="B169" s="408" t="s">
        <v>1548</v>
      </c>
      <c r="C169" s="409"/>
      <c r="D169" s="409"/>
      <c r="E169" s="410">
        <f>E171/'HT-Sõidukikütused (M1)'!$C$9*'HT-Sõidukikütused (M1)'!$C$7</f>
        <v>6.5724937300986955E-3</v>
      </c>
      <c r="F169" s="390" t="s">
        <v>2017</v>
      </c>
      <c r="G169" s="411" t="s">
        <v>351</v>
      </c>
      <c r="H169" s="412"/>
      <c r="I169" s="326"/>
    </row>
    <row r="170" spans="2:9" ht="15" customHeight="1">
      <c r="B170" s="408" t="s">
        <v>1547</v>
      </c>
      <c r="C170" s="410">
        <f>D170/0.5</f>
        <v>1.4605541622441545E-3</v>
      </c>
      <c r="D170" s="410">
        <f>E169/9</f>
        <v>7.3027708112207725E-4</v>
      </c>
      <c r="E170" s="409"/>
      <c r="F170" s="390" t="s">
        <v>2018</v>
      </c>
      <c r="G170" s="411" t="s">
        <v>352</v>
      </c>
      <c r="H170" s="412"/>
      <c r="I170" s="326"/>
    </row>
    <row r="171" spans="2:9" ht="15" customHeight="1">
      <c r="B171" s="408" t="s">
        <v>1546</v>
      </c>
      <c r="C171" s="409"/>
      <c r="D171" s="409"/>
      <c r="E171" s="413">
        <v>0.49614026454015958</v>
      </c>
      <c r="F171" s="390" t="s">
        <v>2017</v>
      </c>
      <c r="G171" s="411" t="s">
        <v>351</v>
      </c>
      <c r="H171" s="412"/>
      <c r="I171" s="326"/>
    </row>
    <row r="172" spans="2:9" ht="15" customHeight="1">
      <c r="B172" s="408" t="s">
        <v>1545</v>
      </c>
      <c r="C172" s="410">
        <f>D172/0.5</f>
        <v>0.11025339212003546</v>
      </c>
      <c r="D172" s="410">
        <f>E171/9</f>
        <v>5.512669606001773E-2</v>
      </c>
      <c r="E172" s="409"/>
      <c r="F172" s="390" t="s">
        <v>2018</v>
      </c>
      <c r="G172" s="411" t="s">
        <v>352</v>
      </c>
      <c r="H172" s="412"/>
      <c r="I172" s="326"/>
    </row>
    <row r="173" spans="2:9" ht="15" customHeight="1">
      <c r="B173" s="408" t="s">
        <v>1540</v>
      </c>
      <c r="C173" s="409"/>
      <c r="D173" s="409"/>
      <c r="E173" s="410">
        <f>E177/'HT-Sõidukikütused (M1)'!$C$9*'HT-Sõidukikütused (M1)'!$C$6</f>
        <v>3.5772609010905357E-2</v>
      </c>
      <c r="F173" s="390" t="s">
        <v>2017</v>
      </c>
      <c r="G173" s="411" t="s">
        <v>351</v>
      </c>
      <c r="H173" s="412"/>
      <c r="I173" s="326"/>
    </row>
    <row r="174" spans="2:9" ht="15" customHeight="1">
      <c r="B174" s="408" t="s">
        <v>1539</v>
      </c>
      <c r="C174" s="414">
        <f>D174/0.5</f>
        <v>3.7655377906216166E-3</v>
      </c>
      <c r="D174" s="414">
        <f>E173/19</f>
        <v>1.8827688953108083E-3</v>
      </c>
      <c r="E174" s="409"/>
      <c r="F174" s="390" t="s">
        <v>2018</v>
      </c>
      <c r="G174" s="411" t="s">
        <v>353</v>
      </c>
      <c r="H174" s="412"/>
      <c r="I174" s="326"/>
    </row>
    <row r="175" spans="2:9" ht="15" customHeight="1">
      <c r="B175" s="408" t="s">
        <v>1542</v>
      </c>
      <c r="C175" s="409"/>
      <c r="D175" s="409"/>
      <c r="E175" s="410">
        <f>E177/'HT-Sõidukikütused (M1)'!$C$9*'HT-Sõidukikütused (M1)'!$C$7</f>
        <v>8.8179271080246029E-3</v>
      </c>
      <c r="F175" s="390" t="s">
        <v>2017</v>
      </c>
      <c r="G175" s="411" t="s">
        <v>351</v>
      </c>
      <c r="H175" s="412"/>
      <c r="I175" s="326"/>
    </row>
    <row r="176" spans="2:9" ht="15" customHeight="1">
      <c r="B176" s="408" t="s">
        <v>1541</v>
      </c>
      <c r="C176" s="414">
        <f>E175/0.5</f>
        <v>1.7635854216049206E-2</v>
      </c>
      <c r="D176" s="415">
        <f>E175/19</f>
        <v>4.6410142673813698E-4</v>
      </c>
      <c r="E176" s="409"/>
      <c r="F176" s="390" t="s">
        <v>2018</v>
      </c>
      <c r="G176" s="411" t="s">
        <v>353</v>
      </c>
      <c r="H176" s="412"/>
      <c r="I176" s="326"/>
    </row>
    <row r="177" spans="2:9" ht="15" customHeight="1">
      <c r="B177" s="408" t="s">
        <v>1544</v>
      </c>
      <c r="C177" s="409"/>
      <c r="D177" s="409"/>
      <c r="E177" s="413">
        <v>0.66564212424215952</v>
      </c>
      <c r="F177" s="390" t="s">
        <v>2017</v>
      </c>
      <c r="G177" s="411" t="s">
        <v>351</v>
      </c>
      <c r="H177" s="412"/>
      <c r="I177" s="326"/>
    </row>
    <row r="178" spans="2:9" ht="15" customHeight="1">
      <c r="B178" s="408" t="s">
        <v>1543</v>
      </c>
      <c r="C178" s="414">
        <f>D178/0.5</f>
        <v>7.0067592025490469E-2</v>
      </c>
      <c r="D178" s="414">
        <f>E177/19</f>
        <v>3.5033796012745234E-2</v>
      </c>
      <c r="E178" s="409"/>
      <c r="F178" s="390" t="s">
        <v>2018</v>
      </c>
      <c r="G178" s="411" t="s">
        <v>353</v>
      </c>
      <c r="H178" s="412"/>
      <c r="I178" s="326"/>
    </row>
    <row r="179" spans="2:9" ht="15" customHeight="1">
      <c r="B179" s="408" t="s">
        <v>1611</v>
      </c>
      <c r="C179" s="409"/>
      <c r="D179" s="409"/>
      <c r="E179" s="410">
        <f>AVERAGE(E167,E173,E185)</f>
        <v>2.621966487352342E-2</v>
      </c>
      <c r="F179" s="390" t="s">
        <v>2017</v>
      </c>
      <c r="G179" s="337" t="s">
        <v>1890</v>
      </c>
      <c r="H179" s="412"/>
      <c r="I179" s="326"/>
    </row>
    <row r="180" spans="2:9" ht="15" customHeight="1">
      <c r="B180" s="408" t="s">
        <v>1612</v>
      </c>
      <c r="C180" s="414">
        <f>AVERAGE(C186,C168,C174)</f>
        <v>6.3203472613882752E-3</v>
      </c>
      <c r="D180" s="414">
        <f>AVERAGE(D186,D168,D174)</f>
        <v>3.1601736306941376E-3</v>
      </c>
      <c r="E180" s="409"/>
      <c r="F180" s="390" t="s">
        <v>2018</v>
      </c>
      <c r="G180" s="337" t="s">
        <v>1890</v>
      </c>
      <c r="H180" s="412"/>
      <c r="I180" s="326"/>
    </row>
    <row r="181" spans="2:9" ht="15" customHeight="1">
      <c r="B181" s="408" t="s">
        <v>1613</v>
      </c>
      <c r="C181" s="409"/>
      <c r="D181" s="409"/>
      <c r="E181" s="410">
        <f>AVERAGE(E169,E175,E187)</f>
        <v>6.4631319896482778E-3</v>
      </c>
      <c r="F181" s="390" t="s">
        <v>2017</v>
      </c>
      <c r="G181" s="337" t="s">
        <v>1891</v>
      </c>
      <c r="H181" s="412"/>
      <c r="I181" s="326"/>
    </row>
    <row r="182" spans="2:9" ht="15" customHeight="1">
      <c r="B182" s="408" t="s">
        <v>1614</v>
      </c>
      <c r="C182" s="414">
        <f>AVERAGE(C188,C170,C176)</f>
        <v>7.1271790081590307E-3</v>
      </c>
      <c r="D182" s="414">
        <f>AVERAGE(D188,D170,D176)</f>
        <v>7.789809436506938E-4</v>
      </c>
      <c r="E182" s="409"/>
      <c r="F182" s="390" t="s">
        <v>2018</v>
      </c>
      <c r="G182" s="337" t="s">
        <v>1891</v>
      </c>
      <c r="H182" s="412"/>
      <c r="I182" s="326"/>
    </row>
    <row r="183" spans="2:9" ht="15" customHeight="1">
      <c r="B183" s="408" t="s">
        <v>1615</v>
      </c>
      <c r="C183" s="409"/>
      <c r="D183" s="409"/>
      <c r="E183" s="414">
        <f>AVERAGE(E189,E171,E177)</f>
        <v>0.4878848343996689</v>
      </c>
      <c r="F183" s="390" t="s">
        <v>2017</v>
      </c>
      <c r="G183" s="337" t="s">
        <v>1892</v>
      </c>
      <c r="H183" s="412"/>
      <c r="I183" s="326"/>
    </row>
    <row r="184" spans="2:9" ht="15" customHeight="1">
      <c r="B184" s="408" t="s">
        <v>1616</v>
      </c>
      <c r="C184" s="414">
        <f>AVERAGE(C190,C172,C178)</f>
        <v>0.11760644508025865</v>
      </c>
      <c r="D184" s="414">
        <f>AVERAGE(D190,D172,D178)</f>
        <v>5.8803222540129325E-2</v>
      </c>
      <c r="E184" s="409"/>
      <c r="F184" s="390" t="s">
        <v>2018</v>
      </c>
      <c r="G184" s="337" t="s">
        <v>1892</v>
      </c>
      <c r="H184" s="412"/>
      <c r="I184" s="326"/>
    </row>
    <row r="185" spans="2:9" ht="15" customHeight="1">
      <c r="B185" s="416" t="s">
        <v>1538</v>
      </c>
      <c r="C185" s="409"/>
      <c r="D185" s="409"/>
      <c r="E185" s="410">
        <f>E189/'HT-Sõidukikütused (M1)'!$C$9*'HT-Sõidukikütused (M1)'!$C$6</f>
        <v>1.6223061502632429E-2</v>
      </c>
      <c r="F185" s="390" t="s">
        <v>2017</v>
      </c>
      <c r="G185" s="411" t="s">
        <v>351</v>
      </c>
      <c r="H185" s="412"/>
      <c r="I185" s="326"/>
    </row>
    <row r="186" spans="2:9" ht="15" customHeight="1">
      <c r="B186" s="416" t="s">
        <v>1537</v>
      </c>
      <c r="C186" s="410">
        <f>D186/0.5</f>
        <v>9.2703208586471016E-3</v>
      </c>
      <c r="D186" s="410">
        <f>E185/3.5</f>
        <v>4.6351604293235508E-3</v>
      </c>
      <c r="E186" s="409"/>
      <c r="F186" s="390" t="s">
        <v>2018</v>
      </c>
      <c r="G186" s="411" t="s">
        <v>350</v>
      </c>
      <c r="H186" s="412"/>
      <c r="I186" s="326"/>
    </row>
    <row r="187" spans="2:9" ht="15" customHeight="1">
      <c r="B187" s="416" t="s">
        <v>1536</v>
      </c>
      <c r="C187" s="409"/>
      <c r="D187" s="409"/>
      <c r="E187" s="410">
        <f>E189/'HT-Sõidukikütused (M1)'!$C$9*'HT-Sõidukikütused (M1)'!$C$7</f>
        <v>3.9989751308215351E-3</v>
      </c>
      <c r="F187" s="390" t="s">
        <v>2017</v>
      </c>
      <c r="G187" s="411" t="s">
        <v>351</v>
      </c>
      <c r="H187" s="412"/>
      <c r="I187" s="326"/>
    </row>
    <row r="188" spans="2:9" ht="15" customHeight="1">
      <c r="B188" s="416" t="s">
        <v>1535</v>
      </c>
      <c r="C188" s="410">
        <f>D188/0.5</f>
        <v>2.2851286461837345E-3</v>
      </c>
      <c r="D188" s="410">
        <f>E187/3.5</f>
        <v>1.1425643230918673E-3</v>
      </c>
      <c r="E188" s="409"/>
      <c r="F188" s="390" t="s">
        <v>2018</v>
      </c>
      <c r="G188" s="411" t="s">
        <v>350</v>
      </c>
      <c r="H188" s="412"/>
      <c r="I188" s="326"/>
    </row>
    <row r="189" spans="2:9" ht="15" customHeight="1">
      <c r="B189" s="416" t="s">
        <v>1534</v>
      </c>
      <c r="C189" s="409"/>
      <c r="D189" s="409"/>
      <c r="E189" s="413">
        <v>0.30187211441668765</v>
      </c>
      <c r="F189" s="390" t="s">
        <v>2017</v>
      </c>
      <c r="G189" s="411" t="s">
        <v>351</v>
      </c>
      <c r="H189" s="412"/>
      <c r="I189" s="326"/>
    </row>
    <row r="190" spans="2:9" ht="15" customHeight="1">
      <c r="B190" s="416" t="s">
        <v>1533</v>
      </c>
      <c r="C190" s="410">
        <f>D190/0.5</f>
        <v>0.17249835109525008</v>
      </c>
      <c r="D190" s="410">
        <f>E189/3.5</f>
        <v>8.624917554762504E-2</v>
      </c>
      <c r="E190" s="409"/>
      <c r="F190" s="390" t="s">
        <v>2018</v>
      </c>
      <c r="G190" s="411" t="s">
        <v>350</v>
      </c>
      <c r="H190" s="412"/>
      <c r="I190" s="326"/>
    </row>
    <row r="193" spans="2:17" ht="15" customHeight="1">
      <c r="B193" s="991" t="s">
        <v>1844</v>
      </c>
      <c r="C193" s="399" t="s">
        <v>126</v>
      </c>
      <c r="D193" s="400"/>
      <c r="E193" s="401"/>
      <c r="F193" s="402" t="s">
        <v>81</v>
      </c>
      <c r="G193" s="403" t="s">
        <v>142</v>
      </c>
      <c r="H193" s="404"/>
      <c r="I193" s="473"/>
      <c r="J193"/>
      <c r="K193"/>
      <c r="L193"/>
      <c r="M193"/>
      <c r="N193"/>
      <c r="O193"/>
      <c r="P193"/>
      <c r="Q193"/>
    </row>
    <row r="194" spans="2:17" ht="15" customHeight="1">
      <c r="B194" s="992"/>
      <c r="C194" s="405" t="s">
        <v>347</v>
      </c>
      <c r="D194" s="406" t="s">
        <v>348</v>
      </c>
      <c r="E194" s="405" t="s">
        <v>349</v>
      </c>
      <c r="F194" s="357"/>
      <c r="G194" s="357"/>
      <c r="H194" s="407"/>
      <c r="I194" s="475"/>
      <c r="J194"/>
      <c r="K194"/>
      <c r="L194"/>
      <c r="M194"/>
      <c r="N194"/>
      <c r="O194"/>
      <c r="P194"/>
      <c r="Q194"/>
    </row>
    <row r="195" spans="2:17" ht="15" customHeight="1">
      <c r="B195" s="408" t="s">
        <v>1601</v>
      </c>
      <c r="C195" s="409"/>
      <c r="D195" s="409"/>
      <c r="E195" s="410">
        <f>E199/'HT-Sõidukikütused (M1)'!$C$9*'HT-Sõidukikütused (M1)'!$C$6</f>
        <v>3.1050980721290953E-2</v>
      </c>
      <c r="F195" s="390" t="s">
        <v>2017</v>
      </c>
      <c r="G195" s="411" t="s">
        <v>355</v>
      </c>
      <c r="H195" s="412"/>
      <c r="I195" s="326"/>
      <c r="J195"/>
      <c r="K195"/>
      <c r="L195"/>
      <c r="M195"/>
      <c r="N195"/>
      <c r="O195"/>
      <c r="P195"/>
      <c r="Q195"/>
    </row>
    <row r="196" spans="2:17" ht="15" customHeight="1">
      <c r="B196" s="408" t="s">
        <v>1600</v>
      </c>
      <c r="C196" s="414">
        <f>D196/0.5</f>
        <v>2.4840784577032761E-3</v>
      </c>
      <c r="D196" s="414">
        <f>E195/25</f>
        <v>1.2420392288516381E-3</v>
      </c>
      <c r="E196" s="409"/>
      <c r="F196" s="390" t="s">
        <v>2018</v>
      </c>
      <c r="G196" s="411" t="s">
        <v>354</v>
      </c>
      <c r="H196" s="412"/>
      <c r="I196" s="326"/>
      <c r="J196"/>
      <c r="K196"/>
      <c r="L196"/>
      <c r="M196"/>
      <c r="N196"/>
      <c r="O196"/>
      <c r="P196"/>
      <c r="Q196"/>
    </row>
    <row r="197" spans="2:17" ht="15" customHeight="1">
      <c r="B197" s="408" t="s">
        <v>1602</v>
      </c>
      <c r="C197" s="409"/>
      <c r="D197" s="409"/>
      <c r="E197" s="410">
        <f>E199/'HT-Sõidukikütused (M1)'!$C$9*'HT-Sõidukikütused (M1)'!$C$7</f>
        <v>7.6540485081630681E-3</v>
      </c>
      <c r="F197" s="390" t="s">
        <v>2017</v>
      </c>
      <c r="G197" s="411" t="s">
        <v>355</v>
      </c>
      <c r="H197" s="412"/>
      <c r="I197" s="326"/>
      <c r="J197"/>
      <c r="K197"/>
      <c r="L197"/>
      <c r="M197"/>
      <c r="N197"/>
      <c r="O197"/>
      <c r="P197"/>
      <c r="Q197"/>
    </row>
    <row r="198" spans="2:17" ht="15" customHeight="1">
      <c r="B198" s="408" t="s">
        <v>1603</v>
      </c>
      <c r="C198" s="414">
        <f>D198/0.5</f>
        <v>6.123238806530454E-4</v>
      </c>
      <c r="D198" s="415">
        <f>E197/25</f>
        <v>3.061619403265227E-4</v>
      </c>
      <c r="E198" s="409"/>
      <c r="F198" s="390" t="s">
        <v>2018</v>
      </c>
      <c r="G198" s="411" t="s">
        <v>354</v>
      </c>
      <c r="H198" s="412"/>
      <c r="I198" s="326"/>
      <c r="J198"/>
      <c r="K198"/>
      <c r="L198"/>
      <c r="M198"/>
      <c r="N198"/>
      <c r="O198"/>
      <c r="P198"/>
      <c r="Q198"/>
    </row>
    <row r="199" spans="2:17" ht="15" customHeight="1">
      <c r="B199" s="408" t="s">
        <v>1606</v>
      </c>
      <c r="C199" s="409"/>
      <c r="D199" s="409"/>
      <c r="E199" s="413">
        <v>0.57778399000256075</v>
      </c>
      <c r="F199" s="390" t="s">
        <v>2017</v>
      </c>
      <c r="G199" s="411" t="s">
        <v>355</v>
      </c>
      <c r="H199" s="412"/>
      <c r="I199" s="326"/>
      <c r="J199"/>
      <c r="K199"/>
      <c r="L199"/>
      <c r="M199"/>
      <c r="N199"/>
      <c r="O199"/>
      <c r="P199"/>
      <c r="Q199"/>
    </row>
    <row r="200" spans="2:17" ht="15" customHeight="1">
      <c r="B200" s="408" t="s">
        <v>1607</v>
      </c>
      <c r="C200" s="414">
        <f>D200/0.5</f>
        <v>4.6222719200204862E-2</v>
      </c>
      <c r="D200" s="414">
        <f>E199/25</f>
        <v>2.3111359600102431E-2</v>
      </c>
      <c r="E200" s="409"/>
      <c r="F200" s="390" t="s">
        <v>2018</v>
      </c>
      <c r="G200" s="411" t="s">
        <v>354</v>
      </c>
      <c r="H200" s="412"/>
      <c r="I200" s="326"/>
      <c r="J200"/>
      <c r="K200"/>
      <c r="L200"/>
      <c r="M200"/>
      <c r="N200"/>
      <c r="O200"/>
      <c r="P200"/>
      <c r="Q200"/>
    </row>
    <row r="201" spans="2:17" ht="15" customHeight="1">
      <c r="B201" s="408" t="s">
        <v>1598</v>
      </c>
      <c r="C201" s="409"/>
      <c r="D201" s="409"/>
      <c r="E201" s="410">
        <f>E205/'HT-Sõidukikütused (M1)'!$C$9*'HT-Sõidukikütused (M1)'!$C$6</f>
        <v>4.0130159571371928E-2</v>
      </c>
      <c r="F201" s="390" t="s">
        <v>2017</v>
      </c>
      <c r="G201" s="411" t="s">
        <v>357</v>
      </c>
      <c r="H201" s="412"/>
      <c r="I201" s="326"/>
      <c r="J201"/>
      <c r="K201"/>
      <c r="L201"/>
      <c r="M201"/>
      <c r="N201"/>
      <c r="O201"/>
      <c r="P201"/>
      <c r="Q201"/>
    </row>
    <row r="202" spans="2:17" ht="15" customHeight="1">
      <c r="B202" s="408" t="s">
        <v>1599</v>
      </c>
      <c r="C202" s="414">
        <f>D202/0.5</f>
        <v>2.0065079785685962E-3</v>
      </c>
      <c r="D202" s="414">
        <f>E201/40</f>
        <v>1.0032539892842981E-3</v>
      </c>
      <c r="E202" s="409"/>
      <c r="F202" s="390" t="s">
        <v>2018</v>
      </c>
      <c r="G202" s="411" t="s">
        <v>356</v>
      </c>
      <c r="H202" s="412"/>
      <c r="I202" s="326"/>
      <c r="J202"/>
      <c r="K202"/>
      <c r="L202"/>
      <c r="M202"/>
      <c r="N202"/>
      <c r="O202"/>
      <c r="P202"/>
      <c r="Q202"/>
    </row>
    <row r="203" spans="2:17" ht="15" customHeight="1">
      <c r="B203" s="408" t="s">
        <v>1604</v>
      </c>
      <c r="C203" s="409"/>
      <c r="D203" s="409"/>
      <c r="E203" s="410">
        <f>E205/'HT-Sõidukikütused (M1)'!$C$9*'HT-Sõidukikütused (M1)'!$C$7</f>
        <v>9.8920607615138462E-3</v>
      </c>
      <c r="F203" s="390" t="s">
        <v>2017</v>
      </c>
      <c r="G203" s="411" t="s">
        <v>357</v>
      </c>
      <c r="H203" s="412"/>
      <c r="I203" s="326"/>
      <c r="J203"/>
      <c r="K203"/>
      <c r="L203"/>
      <c r="M203"/>
      <c r="N203"/>
      <c r="O203"/>
      <c r="P203"/>
      <c r="Q203"/>
    </row>
    <row r="204" spans="2:17" ht="15" customHeight="1">
      <c r="B204" s="408" t="s">
        <v>1605</v>
      </c>
      <c r="C204" s="415">
        <f>D204/0.5</f>
        <v>4.9460303807569227E-4</v>
      </c>
      <c r="D204" s="415">
        <f>E203/40</f>
        <v>2.4730151903784613E-4</v>
      </c>
      <c r="E204" s="409"/>
      <c r="F204" s="390" t="s">
        <v>2018</v>
      </c>
      <c r="G204" s="411" t="s">
        <v>356</v>
      </c>
      <c r="H204" s="412"/>
      <c r="I204" s="326"/>
      <c r="J204"/>
      <c r="K204"/>
      <c r="L204"/>
      <c r="M204"/>
      <c r="N204"/>
      <c r="O204"/>
      <c r="P204"/>
      <c r="Q204"/>
    </row>
    <row r="205" spans="2:17" ht="15" customHeight="1">
      <c r="B205" s="408" t="s">
        <v>1608</v>
      </c>
      <c r="C205" s="409"/>
      <c r="D205" s="409"/>
      <c r="E205" s="413">
        <v>0.74672564852962031</v>
      </c>
      <c r="F205" s="390" t="s">
        <v>2017</v>
      </c>
      <c r="G205" s="411" t="s">
        <v>357</v>
      </c>
      <c r="H205" s="412"/>
      <c r="I205" s="326"/>
      <c r="J205"/>
      <c r="K205"/>
      <c r="L205"/>
      <c r="M205"/>
      <c r="N205"/>
      <c r="O205"/>
      <c r="P205"/>
      <c r="Q205"/>
    </row>
    <row r="206" spans="2:17" ht="15" customHeight="1">
      <c r="B206" s="408" t="s">
        <v>1609</v>
      </c>
      <c r="C206" s="414">
        <f>D206/0.5</f>
        <v>3.7336282426481016E-2</v>
      </c>
      <c r="D206" s="414">
        <f>E205/40</f>
        <v>1.8668141213240508E-2</v>
      </c>
      <c r="E206" s="409"/>
      <c r="F206" s="390" t="s">
        <v>2018</v>
      </c>
      <c r="G206" s="411" t="s">
        <v>356</v>
      </c>
      <c r="H206" s="412"/>
      <c r="I206" s="326"/>
      <c r="J206"/>
      <c r="K206"/>
      <c r="L206"/>
      <c r="M206"/>
      <c r="N206"/>
      <c r="O206"/>
      <c r="P206"/>
      <c r="Q206"/>
    </row>
    <row r="207" spans="2:17" ht="15" customHeight="1">
      <c r="B207" s="408" t="s">
        <v>1611</v>
      </c>
      <c r="C207" s="409"/>
      <c r="D207" s="409"/>
      <c r="E207" s="410">
        <f>E211/'HT-Sõidukikütused (M1)'!$C$9*'HT-Sõidukikütused (M1)'!$C$6</f>
        <v>3.5590570146331435E-2</v>
      </c>
      <c r="F207" s="390" t="s">
        <v>2017</v>
      </c>
      <c r="G207" s="411" t="s">
        <v>1922</v>
      </c>
      <c r="H207" s="412"/>
      <c r="I207" s="326"/>
      <c r="J207"/>
      <c r="K207"/>
      <c r="L207"/>
      <c r="M207"/>
      <c r="N207"/>
      <c r="O207"/>
      <c r="P207"/>
      <c r="Q207"/>
    </row>
    <row r="208" spans="2:17" ht="15" customHeight="1">
      <c r="B208" s="408" t="s">
        <v>1612</v>
      </c>
      <c r="C208" s="414">
        <f>AVERAGE(C196,C202)</f>
        <v>2.2452932181359362E-3</v>
      </c>
      <c r="D208" s="414">
        <f>AVERAGE(D196,D202)</f>
        <v>1.1226466090679681E-3</v>
      </c>
      <c r="E208" s="409"/>
      <c r="F208" s="390" t="s">
        <v>2018</v>
      </c>
      <c r="G208" s="411" t="s">
        <v>1922</v>
      </c>
      <c r="H208" s="412"/>
      <c r="I208" s="326"/>
      <c r="J208"/>
      <c r="K208"/>
      <c r="L208"/>
      <c r="M208"/>
      <c r="N208"/>
      <c r="O208"/>
      <c r="P208"/>
      <c r="Q208"/>
    </row>
    <row r="209" spans="2:17" ht="15" customHeight="1">
      <c r="B209" s="408" t="s">
        <v>1613</v>
      </c>
      <c r="C209" s="409"/>
      <c r="D209" s="409"/>
      <c r="E209" s="410">
        <f>E211/'HT-Sõidukikütused (M1)'!$C$9*'HT-Sõidukikütused (M1)'!$C$7</f>
        <v>8.7730546348384567E-3</v>
      </c>
      <c r="F209" s="390" t="s">
        <v>2017</v>
      </c>
      <c r="G209" s="411" t="s">
        <v>1921</v>
      </c>
      <c r="H209" s="412"/>
      <c r="I209" s="326"/>
      <c r="J209"/>
      <c r="K209"/>
      <c r="L209"/>
      <c r="M209"/>
      <c r="N209"/>
      <c r="O209"/>
      <c r="P209"/>
      <c r="Q209"/>
    </row>
    <row r="210" spans="2:17" ht="15" customHeight="1">
      <c r="B210" s="408" t="s">
        <v>1614</v>
      </c>
      <c r="C210" s="414">
        <f>AVERAGE(C198,C204)</f>
        <v>5.5346345936436883E-4</v>
      </c>
      <c r="D210" s="415">
        <f>AVERAGE(D198,D204)</f>
        <v>2.7673172968218442E-4</v>
      </c>
      <c r="E210" s="409"/>
      <c r="F210" s="390" t="s">
        <v>2018</v>
      </c>
      <c r="G210" s="411" t="s">
        <v>1921</v>
      </c>
      <c r="H210" s="412"/>
      <c r="I210" s="326"/>
      <c r="J210"/>
      <c r="K210"/>
      <c r="L210"/>
      <c r="M210"/>
      <c r="N210"/>
      <c r="O210"/>
      <c r="P210"/>
      <c r="Q210"/>
    </row>
    <row r="211" spans="2:17" ht="15" customHeight="1">
      <c r="B211" s="408" t="s">
        <v>1615</v>
      </c>
      <c r="C211" s="409"/>
      <c r="D211" s="409"/>
      <c r="E211" s="410">
        <f>AVERAGE(E199,E205)</f>
        <v>0.66225481926609053</v>
      </c>
      <c r="F211" s="390" t="s">
        <v>2017</v>
      </c>
      <c r="G211" s="411" t="s">
        <v>1920</v>
      </c>
      <c r="H211" s="412"/>
      <c r="I211" s="326"/>
      <c r="J211"/>
      <c r="K211"/>
      <c r="L211"/>
      <c r="M211"/>
      <c r="N211"/>
      <c r="O211"/>
      <c r="P211"/>
      <c r="Q211"/>
    </row>
    <row r="212" spans="2:17" ht="15" customHeight="1">
      <c r="B212" s="408" t="s">
        <v>1616</v>
      </c>
      <c r="C212" s="414">
        <f>AVERAGE(C200,C206)</f>
        <v>4.1779500813342939E-2</v>
      </c>
      <c r="D212" s="414">
        <f>AVERAGE(D200,D206)</f>
        <v>2.0889750406671469E-2</v>
      </c>
      <c r="E212" s="409"/>
      <c r="F212" s="390" t="s">
        <v>2018</v>
      </c>
      <c r="G212" s="411" t="s">
        <v>1920</v>
      </c>
      <c r="H212" s="412"/>
      <c r="I212" s="326"/>
      <c r="J212"/>
      <c r="K212"/>
      <c r="L212"/>
      <c r="M212"/>
      <c r="N212"/>
      <c r="O212"/>
      <c r="P212"/>
      <c r="Q212"/>
    </row>
    <row r="214" spans="2:17" ht="15" customHeight="1">
      <c r="I214" s="395"/>
    </row>
    <row r="215" spans="2:17" ht="15" customHeight="1">
      <c r="B215" s="991" t="s">
        <v>1845</v>
      </c>
      <c r="C215" s="399" t="s">
        <v>126</v>
      </c>
      <c r="D215" s="400"/>
      <c r="E215" s="401"/>
      <c r="F215" s="402" t="s">
        <v>81</v>
      </c>
      <c r="G215" s="403" t="s">
        <v>142</v>
      </c>
      <c r="H215" s="404"/>
      <c r="I215" s="473"/>
    </row>
    <row r="216" spans="2:17" ht="15" customHeight="1">
      <c r="B216" s="992"/>
      <c r="C216" s="405" t="s">
        <v>347</v>
      </c>
      <c r="D216" s="406" t="s">
        <v>348</v>
      </c>
      <c r="E216" s="405" t="s">
        <v>349</v>
      </c>
      <c r="F216" s="357"/>
      <c r="G216" s="357"/>
      <c r="H216" s="407"/>
      <c r="I216" s="475"/>
    </row>
    <row r="217" spans="2:17" ht="15" customHeight="1">
      <c r="B217" s="408" t="s">
        <v>1633</v>
      </c>
      <c r="C217" s="409"/>
      <c r="D217" s="409"/>
      <c r="E217" s="374">
        <f>AVERAGE(E179,E207)</f>
        <v>3.0905117509927429E-2</v>
      </c>
      <c r="F217" s="390" t="s">
        <v>2017</v>
      </c>
      <c r="G217" s="411" t="s">
        <v>1917</v>
      </c>
      <c r="H217" s="412"/>
      <c r="I217" s="326"/>
    </row>
    <row r="218" spans="2:17" ht="15" customHeight="1">
      <c r="B218" s="408" t="s">
        <v>1634</v>
      </c>
      <c r="C218" s="414">
        <f>AVERAGE(C180,C208)</f>
        <v>4.2828202397621057E-3</v>
      </c>
      <c r="D218" s="414">
        <f>AVERAGE(D180,D208)</f>
        <v>2.1414101198810528E-3</v>
      </c>
      <c r="E218" s="409"/>
      <c r="F218" s="390" t="s">
        <v>2018</v>
      </c>
      <c r="G218" s="411" t="s">
        <v>1917</v>
      </c>
      <c r="H218" s="412"/>
      <c r="I218" s="326"/>
    </row>
    <row r="219" spans="2:17" ht="15" customHeight="1">
      <c r="B219" s="408" t="s">
        <v>1635</v>
      </c>
      <c r="C219" s="409"/>
      <c r="D219" s="409"/>
      <c r="E219" s="410">
        <f>AVERAGE(E181,E209)</f>
        <v>7.6180933122433677E-3</v>
      </c>
      <c r="F219" s="390" t="s">
        <v>2017</v>
      </c>
      <c r="G219" s="411" t="s">
        <v>1918</v>
      </c>
      <c r="H219" s="412"/>
      <c r="I219" s="326"/>
    </row>
    <row r="220" spans="2:17" ht="15" customHeight="1">
      <c r="B220" s="408" t="s">
        <v>1636</v>
      </c>
      <c r="C220" s="414">
        <f>AVERAGE(C182,C210)</f>
        <v>3.8403212337616999E-3</v>
      </c>
      <c r="D220" s="414">
        <f>AVERAGE(D182,D210)</f>
        <v>5.2785633666643913E-4</v>
      </c>
      <c r="E220" s="409"/>
      <c r="F220" s="390" t="s">
        <v>2018</v>
      </c>
      <c r="G220" s="411" t="s">
        <v>1918</v>
      </c>
      <c r="H220" s="412"/>
      <c r="I220" s="326"/>
    </row>
    <row r="221" spans="2:17" ht="15" customHeight="1">
      <c r="B221" s="408" t="s">
        <v>1637</v>
      </c>
      <c r="C221" s="409"/>
      <c r="D221" s="409"/>
      <c r="E221" s="422">
        <f>AVERAGE(E183,E211)</f>
        <v>0.57506982683287977</v>
      </c>
      <c r="F221" s="390" t="s">
        <v>2017</v>
      </c>
      <c r="G221" s="411" t="s">
        <v>1919</v>
      </c>
      <c r="H221" s="412"/>
      <c r="I221" s="326"/>
    </row>
    <row r="222" spans="2:17" ht="15" customHeight="1">
      <c r="B222" s="408" t="s">
        <v>1638</v>
      </c>
      <c r="C222" s="414">
        <f>AVERAGE(C184,C212)</f>
        <v>7.9692972946800791E-2</v>
      </c>
      <c r="D222" s="414">
        <f>AVERAGE(D184,D212)</f>
        <v>3.9846486473400396E-2</v>
      </c>
      <c r="E222" s="409"/>
      <c r="F222" s="390" t="s">
        <v>2018</v>
      </c>
      <c r="G222" s="411" t="s">
        <v>1919</v>
      </c>
      <c r="H222" s="412"/>
      <c r="I222" s="326"/>
    </row>
    <row r="224" spans="2:17" ht="15" customHeight="1">
      <c r="B224" s="826" t="s">
        <v>1935</v>
      </c>
    </row>
    <row r="225" spans="2:9" ht="15" customHeight="1">
      <c r="B225" s="320" t="s">
        <v>365</v>
      </c>
      <c r="C225" s="423"/>
      <c r="D225" s="423"/>
      <c r="E225" s="423"/>
      <c r="F225" s="423"/>
      <c r="G225" s="423"/>
      <c r="H225" s="423"/>
      <c r="I225" s="424"/>
    </row>
    <row r="226" spans="2:9" ht="15" customHeight="1">
      <c r="B226" s="405" t="s">
        <v>1430</v>
      </c>
      <c r="C226" s="793" t="s">
        <v>485</v>
      </c>
      <c r="D226" s="793" t="s">
        <v>2148</v>
      </c>
      <c r="E226" s="793" t="s">
        <v>2149</v>
      </c>
      <c r="F226" s="793" t="s">
        <v>2150</v>
      </c>
      <c r="G226" s="331" t="s">
        <v>1938</v>
      </c>
      <c r="H226" s="405" t="s">
        <v>81</v>
      </c>
      <c r="I226" s="425" t="s">
        <v>142</v>
      </c>
    </row>
    <row r="227" spans="2:9" ht="15" customHeight="1">
      <c r="B227" s="360" t="s">
        <v>1511</v>
      </c>
      <c r="C227" s="379">
        <v>1528623.6975369859</v>
      </c>
      <c r="D227" s="380">
        <v>0.10078540307374209</v>
      </c>
      <c r="E227" s="381">
        <v>1.4827180446233142E-4</v>
      </c>
      <c r="F227" s="381">
        <v>3.0572473950739716E-6</v>
      </c>
      <c r="G227" s="335">
        <f>(D227+_xlfn.XLOOKUP(TULEMUSED!$D$4,'AR väärtused'!$B$4,'AR väärtused'!$C$4)*E227+_xlfn.XLOOKUP(TULEMUSED!$D$4,'AR väärtused'!$B$4,'AR väärtused'!$D$4)*F227)*10^6/C227</f>
        <v>6.895304454514524E-2</v>
      </c>
      <c r="H227" s="332" t="s">
        <v>2017</v>
      </c>
      <c r="I227" s="323" t="s">
        <v>1941</v>
      </c>
    </row>
    <row r="228" spans="2:9" ht="15" customHeight="1">
      <c r="B228" s="360" t="s">
        <v>1512</v>
      </c>
      <c r="C228" s="379">
        <v>21316520.426651198</v>
      </c>
      <c r="D228" s="380">
        <v>2.759724157228308</v>
      </c>
      <c r="E228" s="381">
        <v>1.6540935868967544E-3</v>
      </c>
      <c r="F228" s="381">
        <v>4.263304085330238E-5</v>
      </c>
      <c r="G228" s="335">
        <f>(D228+_xlfn.XLOOKUP(TULEMUSED!$D$4,'AR väärtused'!$B$4,'AR väärtused'!$C$4)*E228+_xlfn.XLOOKUP(TULEMUSED!$D$4,'AR väärtused'!$B$4,'AR väärtused'!$D$4)*F228)*10^6/C228</f>
        <v>0.13200002095825417</v>
      </c>
      <c r="H228" s="332" t="s">
        <v>2017</v>
      </c>
      <c r="I228" s="323" t="s">
        <v>1941</v>
      </c>
    </row>
    <row r="229" spans="2:9" ht="15" customHeight="1">
      <c r="B229" s="360" t="s">
        <v>1513</v>
      </c>
      <c r="C229" s="379">
        <v>21770075.725403301</v>
      </c>
      <c r="D229" s="380">
        <v>2.6257498693090588</v>
      </c>
      <c r="E229" s="381">
        <v>2.7272140960488168E-3</v>
      </c>
      <c r="F229" s="381">
        <v>4.3540151450806601E-5</v>
      </c>
      <c r="G229" s="335">
        <f>(D229+_xlfn.XLOOKUP(TULEMUSED!$D$4,'AR väärtused'!$B$4,'AR väärtused'!$C$4)*E229+_xlfn.XLOOKUP(TULEMUSED!$D$4,'AR väärtused'!$B$4,'AR väärtused'!$D$4)*F229)*10^6/C229</f>
        <v>0.12434064175918126</v>
      </c>
      <c r="H229" s="332" t="s">
        <v>2017</v>
      </c>
      <c r="I229" s="323" t="s">
        <v>1941</v>
      </c>
    </row>
    <row r="230" spans="2:9" ht="15" customHeight="1">
      <c r="B230" s="360" t="s">
        <v>1428</v>
      </c>
      <c r="C230" s="379">
        <v>8093750.942534171</v>
      </c>
      <c r="D230" s="380">
        <v>0.44895587804420117</v>
      </c>
      <c r="E230" s="381">
        <v>2.6828551538548662E-4</v>
      </c>
      <c r="F230" s="381">
        <v>8.0937509425341708E-6</v>
      </c>
      <c r="G230" s="335">
        <f>(D230+_xlfn.XLOOKUP(TULEMUSED!$D$4,'AR väärtused'!$B$4,'AR väärtused'!$C$4)*E230+_xlfn.XLOOKUP(TULEMUSED!$D$4,'AR väärtused'!$B$4,'AR väärtused'!$D$4)*F230)*10^6/C230</f>
        <v>5.6596126686138094E-2</v>
      </c>
      <c r="H230" s="332" t="s">
        <v>2017</v>
      </c>
      <c r="I230" s="323" t="s">
        <v>1941</v>
      </c>
    </row>
    <row r="231" spans="2:9" ht="15" customHeight="1">
      <c r="B231" s="360" t="s">
        <v>1727</v>
      </c>
      <c r="C231" s="379">
        <v>110462131.91222186</v>
      </c>
      <c r="D231" s="380">
        <v>0</v>
      </c>
      <c r="E231" s="381">
        <v>2.9402505174710974E-3</v>
      </c>
      <c r="F231" s="381">
        <v>4.5335002552064183E-5</v>
      </c>
      <c r="G231" s="335">
        <f>(D231+_xlfn.XLOOKUP(TULEMUSED!$D$4,'AR väärtused'!$B$4,'AR väärtused'!$C$4)*E231+_xlfn.XLOOKUP(TULEMUSED!$D$4,'AR väärtused'!$B$4,'AR väärtused'!$D$4)*F231)*10^6/C231</f>
        <v>7.8774591971879945E-4</v>
      </c>
      <c r="H231" s="332" t="s">
        <v>2017</v>
      </c>
      <c r="I231" s="332" t="s">
        <v>1895</v>
      </c>
    </row>
    <row r="232" spans="2:9" ht="15" customHeight="1">
      <c r="B232" s="360" t="s">
        <v>1728</v>
      </c>
      <c r="C232" s="379">
        <v>110462131.91222186</v>
      </c>
      <c r="D232" s="380">
        <v>17.206137309725243</v>
      </c>
      <c r="E232" s="381">
        <v>2.9402505174710974E-3</v>
      </c>
      <c r="F232" s="381">
        <v>4.5335002552064183E-5</v>
      </c>
      <c r="G232" s="335">
        <f>(D232+_xlfn.XLOOKUP(TULEMUSED!$D$4,'AR väärtused'!$B$4,'AR väärtused'!$C$4)*E232+_xlfn.XLOOKUP(TULEMUSED!$D$4,'AR väärtused'!$B$4,'AR väärtused'!$D$4)*F232)*10^6/C232</f>
        <v>0.15655277608768631</v>
      </c>
      <c r="H232" s="332" t="s">
        <v>2017</v>
      </c>
      <c r="I232" s="323" t="s">
        <v>1941</v>
      </c>
    </row>
    <row r="233" spans="2:9" ht="15" customHeight="1">
      <c r="B233" s="383" t="s">
        <v>2213</v>
      </c>
      <c r="C233" s="379">
        <v>19419117.115863044</v>
      </c>
      <c r="D233" s="380">
        <v>2.4388081333374609</v>
      </c>
      <c r="E233" s="381">
        <v>3.7020661376722898E-4</v>
      </c>
      <c r="F233" s="381">
        <v>3.5827752782013653E-5</v>
      </c>
      <c r="G233" s="335">
        <f>G251*0.75</f>
        <v>0.14432171666978094</v>
      </c>
      <c r="H233" s="337" t="s">
        <v>2017</v>
      </c>
      <c r="I233" s="332" t="s">
        <v>2215</v>
      </c>
    </row>
    <row r="234" spans="2:9" ht="15" customHeight="1">
      <c r="B234" s="383" t="s">
        <v>2214</v>
      </c>
      <c r="C234" s="379">
        <v>12285356.399931636</v>
      </c>
      <c r="D234" s="380">
        <v>1.840362809214563</v>
      </c>
      <c r="E234" s="381">
        <v>3.5934667469800026E-7</v>
      </c>
      <c r="F234" s="381">
        <v>7.5312353574058988E-5</v>
      </c>
      <c r="G234" s="335">
        <f>G255*0.75</f>
        <v>0.12964175001153405</v>
      </c>
      <c r="H234" s="337" t="s">
        <v>2017</v>
      </c>
      <c r="I234" s="332" t="s">
        <v>2215</v>
      </c>
    </row>
    <row r="235" spans="2:9" ht="15" customHeight="1">
      <c r="B235" s="862" t="s">
        <v>2211</v>
      </c>
      <c r="C235" s="863">
        <v>19419117.115863044</v>
      </c>
      <c r="D235" s="864">
        <v>2.4388081333374609</v>
      </c>
      <c r="E235" s="351">
        <v>3.7020661376722898E-4</v>
      </c>
      <c r="F235" s="351">
        <v>3.5827752782013653E-5</v>
      </c>
      <c r="G235" s="335">
        <f>G251*0.75+0.2*'HT-Energia (M1, M2)'!$C$58*0.25</f>
        <v>0.17615071666978094</v>
      </c>
      <c r="H235" s="337" t="s">
        <v>2017</v>
      </c>
      <c r="I235" s="332" t="s">
        <v>2219</v>
      </c>
    </row>
    <row r="236" spans="2:9" ht="15" customHeight="1">
      <c r="B236" s="862" t="s">
        <v>2212</v>
      </c>
      <c r="C236" s="863">
        <v>12285356.399931636</v>
      </c>
      <c r="D236" s="864">
        <v>1.840362809214563</v>
      </c>
      <c r="E236" s="351">
        <v>3.5934667469800026E-7</v>
      </c>
      <c r="F236" s="351">
        <v>7.5312353574058988E-5</v>
      </c>
      <c r="G236" s="335">
        <f>G255*0.75+0.2*'HT-Energia (M1, M2)'!$C$58*0.25</f>
        <v>0.16147075001153405</v>
      </c>
      <c r="H236" s="337" t="s">
        <v>2017</v>
      </c>
      <c r="I236" s="332" t="s">
        <v>2219</v>
      </c>
    </row>
    <row r="237" spans="2:9" ht="15" customHeight="1">
      <c r="B237" s="360" t="s">
        <v>1510</v>
      </c>
      <c r="C237" s="379">
        <v>1</v>
      </c>
      <c r="D237" s="380">
        <v>0</v>
      </c>
      <c r="E237" s="381">
        <v>0</v>
      </c>
      <c r="F237" s="381">
        <v>0</v>
      </c>
      <c r="G237" s="335">
        <f>(D237+_xlfn.XLOOKUP(TULEMUSED!$D$4,'AR väärtused'!$B$4,'AR väärtused'!$C$4)*E237+_xlfn.XLOOKUP(TULEMUSED!$D$4,'AR väärtused'!$B$4,'AR väärtused'!$D$4)*F237)*10^6/C237</f>
        <v>0</v>
      </c>
      <c r="H237" s="332" t="s">
        <v>2017</v>
      </c>
      <c r="I237" s="323" t="s">
        <v>146</v>
      </c>
    </row>
    <row r="238" spans="2:9" ht="15" customHeight="1">
      <c r="B238" s="332" t="s">
        <v>1874</v>
      </c>
      <c r="C238" s="379"/>
      <c r="D238" s="380"/>
      <c r="E238" s="381"/>
      <c r="F238" s="381"/>
      <c r="G238" s="335">
        <f>0.2*'HT-Energia (M1, M2)'!$C$58</f>
        <v>0.12731600000000001</v>
      </c>
      <c r="H238" s="332" t="s">
        <v>2017</v>
      </c>
      <c r="I238" s="332" t="s">
        <v>2220</v>
      </c>
    </row>
    <row r="239" spans="2:9" ht="15" customHeight="1">
      <c r="B239" s="360" t="s">
        <v>1729</v>
      </c>
      <c r="C239" s="379">
        <v>167895576.61922288</v>
      </c>
      <c r="D239" s="380">
        <v>26.975369319537272</v>
      </c>
      <c r="E239" s="381">
        <v>4.4565353152827211E-3</v>
      </c>
      <c r="F239" s="381">
        <v>5.5487809259920106E-4</v>
      </c>
      <c r="G239" s="335">
        <f>(D239+_xlfn.XLOOKUP(TULEMUSED!$D$4,'AR väärtused'!$B$4,'AR väärtused'!$C$4)*E239+_xlfn.XLOOKUP(TULEMUSED!$D$4,'AR väärtused'!$B$4,'AR väärtused'!$D$4)*F239)*10^6/C239</f>
        <v>0.16231598784654178</v>
      </c>
      <c r="H239" s="332" t="s">
        <v>2017</v>
      </c>
      <c r="I239" s="323" t="s">
        <v>1941</v>
      </c>
    </row>
    <row r="240" spans="2:9" ht="15" customHeight="1">
      <c r="B240" s="426" t="s">
        <v>1465</v>
      </c>
      <c r="C240" s="379">
        <v>1753161772.9878268</v>
      </c>
      <c r="D240" s="380">
        <v>332.72190908849512</v>
      </c>
      <c r="E240" s="381">
        <v>4.457580864477631E-2</v>
      </c>
      <c r="F240" s="381">
        <v>4.6403415735313553E-3</v>
      </c>
      <c r="G240" s="335">
        <f>(D240+_xlfn.XLOOKUP(TULEMUSED!$D$4,'AR väärtused'!$B$4,'AR väärtused'!$C$4)*E240+_xlfn.XLOOKUP(TULEMUSED!$D$4,'AR väärtused'!$B$4,'AR väärtused'!$D$4)*F240)*10^6/C240</f>
        <v>0.19120832501511228</v>
      </c>
      <c r="H240" s="332" t="s">
        <v>2017</v>
      </c>
      <c r="I240" s="323" t="s">
        <v>1941</v>
      </c>
    </row>
    <row r="241" spans="2:9" ht="15" customHeight="1">
      <c r="B241" s="426" t="s">
        <v>1466</v>
      </c>
      <c r="C241" s="379"/>
      <c r="D241" s="380"/>
      <c r="E241" s="381"/>
      <c r="F241" s="381"/>
      <c r="G241" s="335">
        <f>G243/'HT-Sõidukikütused (M1)'!$C$9*'HT-Sõidukikütused (M1)'!$C$6</f>
        <v>8.093991289471315E-3</v>
      </c>
      <c r="H241" s="332" t="s">
        <v>2017</v>
      </c>
      <c r="I241" s="323" t="s">
        <v>367</v>
      </c>
    </row>
    <row r="242" spans="2:9" ht="15" customHeight="1">
      <c r="B242" s="426" t="s">
        <v>1467</v>
      </c>
      <c r="C242" s="379"/>
      <c r="D242" s="380"/>
      <c r="E242" s="381"/>
      <c r="F242" s="381"/>
      <c r="G242" s="335">
        <f>G243/'HT-Sõidukikütused (M1)'!$C$9*'HT-Sõidukikütused (M1)'!$C$7</f>
        <v>1.9951640983688428E-3</v>
      </c>
      <c r="H242" s="332" t="s">
        <v>2017</v>
      </c>
      <c r="I242" s="323" t="s">
        <v>366</v>
      </c>
    </row>
    <row r="243" spans="2:9" ht="15" customHeight="1">
      <c r="B243" s="426" t="s">
        <v>1468</v>
      </c>
      <c r="C243" s="379">
        <v>2579504739.9597011</v>
      </c>
      <c r="D243" s="380">
        <v>383.04282931303277</v>
      </c>
      <c r="E243" s="381">
        <v>2.2460977707988335E-3</v>
      </c>
      <c r="F243" s="381">
        <v>1.8118884625464411E-2</v>
      </c>
      <c r="G243" s="335">
        <f>(D243+_xlfn.XLOOKUP(TULEMUSED!$D$4,'AR väärtused'!$B$4,'AR väärtused'!$C$4)*E243+_xlfn.XLOOKUP(TULEMUSED!$D$4,'AR väärtused'!$B$4,'AR väärtused'!$D$4)*F243)*10^6/C243</f>
        <v>0.15060969005304506</v>
      </c>
      <c r="H243" s="332" t="s">
        <v>2017</v>
      </c>
      <c r="I243" s="323" t="s">
        <v>1941</v>
      </c>
    </row>
    <row r="244" spans="2:9" ht="15" customHeight="1">
      <c r="B244" s="427" t="s">
        <v>1477</v>
      </c>
      <c r="C244" s="379">
        <v>85423921.867673472</v>
      </c>
      <c r="D244" s="380">
        <v>10.152626945571914</v>
      </c>
      <c r="E244" s="381">
        <v>1.6285241322075545E-3</v>
      </c>
      <c r="F244" s="381">
        <v>1.5760485587910491E-4</v>
      </c>
      <c r="G244" s="335">
        <f>(D244+_xlfn.XLOOKUP(TULEMUSED!$D$4,'AR väärtused'!$B$4,'AR väärtused'!$C$4)*E244+_xlfn.XLOOKUP(TULEMUSED!$D$4,'AR väärtused'!$B$4,'AR väärtused'!$D$4)*F244)*10^6/C244</f>
        <v>0.11987633056454484</v>
      </c>
      <c r="H244" s="332" t="s">
        <v>2017</v>
      </c>
      <c r="I244" s="323" t="s">
        <v>1941</v>
      </c>
    </row>
    <row r="245" spans="2:9" ht="15" customHeight="1">
      <c r="B245" s="426" t="s">
        <v>1469</v>
      </c>
      <c r="C245" s="379">
        <v>493688984.89825708</v>
      </c>
      <c r="D245" s="380">
        <v>119.59264696255987</v>
      </c>
      <c r="E245" s="381">
        <v>1.4537378574828126E-2</v>
      </c>
      <c r="F245" s="381">
        <v>1.7467023208926559E-3</v>
      </c>
      <c r="G245" s="335">
        <f>(D245+_xlfn.XLOOKUP(TULEMUSED!$D$4,'AR väärtused'!$B$4,'AR väärtused'!$C$4)*E245+_xlfn.XLOOKUP(TULEMUSED!$D$4,'AR väärtused'!$B$4,'AR väärtused'!$D$4)*F245)*10^6/C245</f>
        <v>0.24403339431076276</v>
      </c>
      <c r="H245" s="332" t="s">
        <v>2017</v>
      </c>
      <c r="I245" s="323" t="s">
        <v>1941</v>
      </c>
    </row>
    <row r="246" spans="2:9" ht="15" customHeight="1">
      <c r="B246" s="426" t="s">
        <v>1470</v>
      </c>
      <c r="C246" s="379"/>
      <c r="D246" s="380"/>
      <c r="E246" s="381"/>
      <c r="F246" s="381"/>
      <c r="G246" s="335">
        <f>G248/'HT-Sõidukikütused (M1)'!$C$9*'HT-Sõidukikütused (M1)'!$C$6</f>
        <v>1.0833388430693966E-2</v>
      </c>
      <c r="H246" s="332" t="s">
        <v>2017</v>
      </c>
      <c r="I246" s="323" t="s">
        <v>367</v>
      </c>
    </row>
    <row r="247" spans="2:9" ht="15" customHeight="1">
      <c r="B247" s="426" t="s">
        <v>1471</v>
      </c>
      <c r="C247" s="379"/>
      <c r="D247" s="380"/>
      <c r="E247" s="381"/>
      <c r="F247" s="381"/>
      <c r="G247" s="335">
        <f>G248/'HT-Sõidukikütused (M1)'!$C$9*'HT-Sõidukikütused (M1)'!$C$7</f>
        <v>2.6704238845328423E-3</v>
      </c>
      <c r="H247" s="332" t="s">
        <v>2017</v>
      </c>
      <c r="I247" s="323" t="s">
        <v>366</v>
      </c>
    </row>
    <row r="248" spans="2:9" ht="15" customHeight="1">
      <c r="B248" s="426" t="s">
        <v>1472</v>
      </c>
      <c r="C248" s="379">
        <v>2030828042.2134192</v>
      </c>
      <c r="D248" s="380">
        <v>404.97380545309801</v>
      </c>
      <c r="E248" s="381">
        <v>2.4237535370090478E-3</v>
      </c>
      <c r="F248" s="381">
        <v>1.4585801596754683E-2</v>
      </c>
      <c r="G248" s="335">
        <f>(D248+_xlfn.XLOOKUP(TULEMUSED!$D$4,'AR väärtused'!$B$4,'AR väärtused'!$C$4)*E248+_xlfn.XLOOKUP(TULEMUSED!$D$4,'AR väärtused'!$B$4,'AR väärtused'!$D$4)*F248)*10^6/C248</f>
        <v>0.20158327522460634</v>
      </c>
      <c r="H248" s="332" t="s">
        <v>2017</v>
      </c>
      <c r="I248" s="323" t="s">
        <v>1941</v>
      </c>
    </row>
    <row r="249" spans="2:9" ht="15" customHeight="1">
      <c r="B249" s="427" t="s">
        <v>1478</v>
      </c>
      <c r="C249" s="379">
        <v>60010476.081715532</v>
      </c>
      <c r="D249" s="380">
        <v>7.5261436272458608</v>
      </c>
      <c r="E249" s="381">
        <v>1.1440414622466647E-3</v>
      </c>
      <c r="F249" s="381">
        <v>1.1071772668955825E-4</v>
      </c>
      <c r="G249" s="335">
        <f>(D249+_xlfn.XLOOKUP(TULEMUSED!$D$4,'AR väärtused'!$B$4,'AR väärtused'!$C$4)*E249+_xlfn.XLOOKUP(TULEMUSED!$D$4,'AR väärtused'!$B$4,'AR väärtused'!$D$4)*F249)*10^6/C249</f>
        <v>0.12644023246913397</v>
      </c>
      <c r="H249" s="332" t="s">
        <v>2017</v>
      </c>
      <c r="I249" s="323" t="s">
        <v>1941</v>
      </c>
    </row>
    <row r="250" spans="2:9" ht="15" customHeight="1">
      <c r="B250" s="360" t="s">
        <v>1726</v>
      </c>
      <c r="C250" s="379">
        <v>8121792884.9024372</v>
      </c>
      <c r="D250" s="380">
        <v>1435.7542930421771</v>
      </c>
      <c r="E250" s="381">
        <v>8.7799650296917081E-2</v>
      </c>
      <c r="F250" s="381">
        <v>4.1502198681943436E-2</v>
      </c>
      <c r="G250" s="335">
        <f>(D250+_xlfn.XLOOKUP(TULEMUSED!$D$4,'AR väärtused'!$B$4,'AR väärtused'!$C$4)*E250+_xlfn.XLOOKUP(TULEMUSED!$D$4,'AR väärtused'!$B$4,'AR väärtused'!$D$4)*F250)*10^6/C250</f>
        <v>0.17857103229051885</v>
      </c>
      <c r="H250" s="332" t="s">
        <v>2017</v>
      </c>
      <c r="I250" s="323" t="s">
        <v>1896</v>
      </c>
    </row>
    <row r="251" spans="2:9" ht="15" customHeight="1">
      <c r="B251" s="426" t="s">
        <v>1720</v>
      </c>
      <c r="C251" s="379">
        <v>3007334297.6365356</v>
      </c>
      <c r="D251" s="380">
        <v>574.56887730348797</v>
      </c>
      <c r="E251" s="381">
        <v>7.5396054840334265E-2</v>
      </c>
      <c r="F251" s="381">
        <v>7.531608183188019E-3</v>
      </c>
      <c r="G251" s="335">
        <f>(D251+_xlfn.XLOOKUP(TULEMUSED!$D$4,'AR väärtused'!$B$4,'AR väärtused'!$C$4)*E251+_xlfn.XLOOKUP(TULEMUSED!$D$4,'AR väärtused'!$B$4,'AR väärtused'!$D$4)*F251)*10^6/C251</f>
        <v>0.1924289555597079</v>
      </c>
      <c r="H251" s="332" t="s">
        <v>2017</v>
      </c>
      <c r="I251" s="323" t="s">
        <v>1897</v>
      </c>
    </row>
    <row r="252" spans="2:9" ht="15" customHeight="1">
      <c r="B252" s="426" t="s">
        <v>1721</v>
      </c>
      <c r="C252" s="379">
        <v>7660306602.3444614</v>
      </c>
      <c r="D252" s="380">
        <v>1368.9027543037982</v>
      </c>
      <c r="E252" s="381">
        <v>8.0085795562816406E-2</v>
      </c>
      <c r="F252" s="381">
        <v>4.0556807059059147E-2</v>
      </c>
      <c r="G252" s="335">
        <f>(D252+_xlfn.XLOOKUP(TULEMUSED!$D$4,'AR väärtused'!$B$4,'AR väärtused'!$C$4)*E252+_xlfn.XLOOKUP(TULEMUSED!$D$4,'AR väärtused'!$B$4,'AR väärtused'!$D$4)*F252)*10^6/C252</f>
        <v>0.18053987907914804</v>
      </c>
      <c r="H252" s="332" t="s">
        <v>2017</v>
      </c>
      <c r="I252" s="323" t="s">
        <v>1898</v>
      </c>
    </row>
    <row r="253" spans="2:9" ht="15" customHeight="1">
      <c r="B253" s="426" t="s">
        <v>1722</v>
      </c>
      <c r="C253" s="379"/>
      <c r="D253" s="380"/>
      <c r="E253" s="381"/>
      <c r="F253" s="381"/>
      <c r="G253" s="335">
        <f>G255/'HT-Sõidukikütused (M1)'!$C$9*'HT-Sõidukikütused (M1)'!$C$6</f>
        <v>9.2895235357530401E-3</v>
      </c>
      <c r="H253" s="332" t="s">
        <v>2017</v>
      </c>
      <c r="I253" s="323" t="s">
        <v>2270</v>
      </c>
    </row>
    <row r="254" spans="2:9" ht="15" customHeight="1">
      <c r="B254" s="426" t="s">
        <v>1723</v>
      </c>
      <c r="C254" s="379"/>
      <c r="D254" s="380"/>
      <c r="E254" s="381"/>
      <c r="F254" s="381"/>
      <c r="G254" s="335">
        <f>G255/'HT-Sõidukikütused (M1)'!$C$9*'HT-Sõidukikütused (M1)'!$C$7</f>
        <v>2.2898620948105164E-3</v>
      </c>
      <c r="H254" s="332" t="s">
        <v>2017</v>
      </c>
      <c r="I254" s="323" t="s">
        <v>2271</v>
      </c>
    </row>
    <row r="255" spans="2:9" ht="15" customHeight="1">
      <c r="B255" s="426" t="s">
        <v>1724</v>
      </c>
      <c r="C255" s="379">
        <v>4652972304.7079258</v>
      </c>
      <c r="D255" s="380">
        <v>794.33387700031017</v>
      </c>
      <c r="E255" s="381">
        <v>4.6897407224821414E-3</v>
      </c>
      <c r="F255" s="381">
        <v>3.3025198875871131E-2</v>
      </c>
      <c r="G255" s="335">
        <f>(D255+_xlfn.XLOOKUP(TULEMUSED!$D$4,'AR väärtused'!$B$4,'AR väärtused'!$C$4)*E255+_xlfn.XLOOKUP(TULEMUSED!$D$4,'AR väärtused'!$B$4,'AR väärtused'!$D$4)*F255)*10^6/C255</f>
        <v>0.17285566668204541</v>
      </c>
      <c r="H255" s="332" t="s">
        <v>2017</v>
      </c>
      <c r="I255" s="323" t="s">
        <v>1899</v>
      </c>
    </row>
    <row r="256" spans="2:9" ht="15" customHeight="1">
      <c r="B256" s="427" t="s">
        <v>1725</v>
      </c>
      <c r="C256" s="379">
        <v>151424100.5107345</v>
      </c>
      <c r="D256" s="380">
        <v>18.390861166563557</v>
      </c>
      <c r="E256" s="381">
        <v>2.886753458376069E-3</v>
      </c>
      <c r="F256" s="381">
        <v>2.7937342392902461E-4</v>
      </c>
      <c r="G256" s="335">
        <f>(D256+_xlfn.XLOOKUP(TULEMUSED!$D$4,'AR väärtused'!$B$4,'AR väärtused'!$C$4)*E256+_xlfn.XLOOKUP(TULEMUSED!$D$4,'AR väärtused'!$B$4,'AR väärtused'!$D$4)*F256)*10^6/C256</f>
        <v>0.12247907183070279</v>
      </c>
      <c r="H256" s="332" t="s">
        <v>2017</v>
      </c>
      <c r="I256" s="427" t="s">
        <v>1900</v>
      </c>
    </row>
    <row r="257" spans="2:9" ht="15" customHeight="1">
      <c r="B257" s="426" t="s">
        <v>1473</v>
      </c>
      <c r="C257" s="379">
        <v>760483539.75045097</v>
      </c>
      <c r="D257" s="380">
        <v>122.254321252433</v>
      </c>
      <c r="E257" s="381">
        <v>1.6282867620729814E-2</v>
      </c>
      <c r="F257" s="381">
        <v>1.1445642887640073E-3</v>
      </c>
      <c r="G257" s="335">
        <f>(D257+_xlfn.XLOOKUP(TULEMUSED!$D$4,'AR väärtused'!$B$4,'AR väärtused'!$C$4)*E257+_xlfn.XLOOKUP(TULEMUSED!$D$4,'AR väärtused'!$B$4,'AR väärtused'!$D$4)*F257)*10^6/C257</f>
        <v>0.16174245288907316</v>
      </c>
      <c r="H257" s="332" t="s">
        <v>2017</v>
      </c>
      <c r="I257" s="323" t="s">
        <v>1941</v>
      </c>
    </row>
    <row r="258" spans="2:9" ht="15" customHeight="1">
      <c r="B258" s="426" t="s">
        <v>1474</v>
      </c>
      <c r="C258" s="379"/>
      <c r="D258" s="380"/>
      <c r="E258" s="381"/>
      <c r="F258" s="381"/>
      <c r="G258" s="335">
        <f>G260/'HT-Sõidukikütused (M1)'!$C$9*'HT-Sõidukikütused (M1)'!$C$6</f>
        <v>8.0830600737259416E-3</v>
      </c>
      <c r="H258" s="332" t="s">
        <v>2017</v>
      </c>
      <c r="I258" s="323" t="s">
        <v>367</v>
      </c>
    </row>
    <row r="259" spans="2:9" ht="15" customHeight="1">
      <c r="B259" s="426" t="s">
        <v>1475</v>
      </c>
      <c r="C259" s="379"/>
      <c r="D259" s="380"/>
      <c r="E259" s="381"/>
      <c r="F259" s="381"/>
      <c r="G259" s="335">
        <f>G260/'HT-Sõidukikütused (M1)'!$C$9*'HT-Sõidukikütused (M1)'!$C$7</f>
        <v>1.9924695601087061E-3</v>
      </c>
      <c r="H259" s="332" t="s">
        <v>2017</v>
      </c>
      <c r="I259" s="323" t="s">
        <v>366</v>
      </c>
    </row>
    <row r="260" spans="2:9" ht="15" customHeight="1">
      <c r="B260" s="428" t="s">
        <v>1476</v>
      </c>
      <c r="C260" s="379">
        <v>42639522.534805164</v>
      </c>
      <c r="D260" s="380">
        <v>6.3172422341794316</v>
      </c>
      <c r="E260" s="381">
        <v>1.9889414674259044E-5</v>
      </c>
      <c r="F260" s="381">
        <v>3.2051265365204618E-4</v>
      </c>
      <c r="G260" s="335">
        <f>(D260+_xlfn.XLOOKUP(TULEMUSED!$D$4,'AR väärtused'!$B$4,'AR väärtused'!$C$4)*E260+_xlfn.XLOOKUP(TULEMUSED!$D$4,'AR väärtused'!$B$4,'AR väärtused'!$D$4)*F260)*10^6/C260</f>
        <v>0.15040628644703238</v>
      </c>
      <c r="H260" s="332" t="s">
        <v>2017</v>
      </c>
      <c r="I260" s="323" t="s">
        <v>1941</v>
      </c>
    </row>
    <row r="261" spans="2:9" ht="15" customHeight="1">
      <c r="B261" s="429" t="s">
        <v>1479</v>
      </c>
      <c r="C261" s="379">
        <v>5989702.5613455428</v>
      </c>
      <c r="D261" s="380">
        <v>0.71209059374577899</v>
      </c>
      <c r="E261" s="381">
        <v>1.1418786392184968E-4</v>
      </c>
      <c r="F261" s="381">
        <v>1.1050841360361438E-5</v>
      </c>
      <c r="G261" s="335">
        <f>(D261+_xlfn.XLOOKUP(TULEMUSED!$D$4,'AR väärtused'!$B$4,'AR väärtused'!$C$4)*E261+_xlfn.XLOOKUP(TULEMUSED!$D$4,'AR väärtused'!$B$4,'AR väärtused'!$D$4)*F261)*10^6/C261</f>
        <v>0.1199122049405849</v>
      </c>
      <c r="H261" s="332" t="s">
        <v>2017</v>
      </c>
      <c r="I261" s="323" t="s">
        <v>1941</v>
      </c>
    </row>
    <row r="262" spans="2:9" ht="15" customHeight="1">
      <c r="B262" s="430" t="s">
        <v>1480</v>
      </c>
      <c r="C262" s="379"/>
      <c r="D262" s="380"/>
      <c r="E262" s="381"/>
      <c r="F262" s="381"/>
      <c r="G262" s="335">
        <f>G252</f>
        <v>0.18053987907914804</v>
      </c>
      <c r="H262" s="332" t="s">
        <v>2017</v>
      </c>
      <c r="I262" s="323" t="s">
        <v>1898</v>
      </c>
    </row>
    <row r="263" spans="2:9" ht="15" customHeight="1">
      <c r="B263" s="432"/>
      <c r="C263" s="433"/>
      <c r="D263" s="433"/>
      <c r="E263" s="433"/>
      <c r="F263" s="433"/>
      <c r="G263" s="433"/>
      <c r="H263" s="433"/>
    </row>
    <row r="264" spans="2:9" ht="15" customHeight="1">
      <c r="B264" s="432"/>
      <c r="C264" s="433"/>
      <c r="D264" s="433"/>
      <c r="E264" s="433"/>
      <c r="F264" s="433"/>
      <c r="G264" s="433"/>
      <c r="H264" s="433"/>
    </row>
    <row r="265" spans="2:9" ht="45" customHeight="1">
      <c r="B265" s="405" t="s">
        <v>1502</v>
      </c>
      <c r="C265" s="405" t="s">
        <v>2176</v>
      </c>
      <c r="D265" s="405" t="s">
        <v>2166</v>
      </c>
      <c r="E265" s="405" t="s">
        <v>2167</v>
      </c>
      <c r="F265" s="405"/>
      <c r="G265" s="405" t="s">
        <v>1938</v>
      </c>
      <c r="H265" s="405" t="s">
        <v>81</v>
      </c>
      <c r="I265" s="405" t="s">
        <v>142</v>
      </c>
    </row>
    <row r="266" spans="2:9" ht="15" customHeight="1">
      <c r="B266" s="332" t="s">
        <v>1491</v>
      </c>
      <c r="C266" s="346">
        <v>0.28999999999999998</v>
      </c>
      <c r="D266" s="803">
        <v>14751000</v>
      </c>
      <c r="E266" s="803">
        <v>317927500</v>
      </c>
      <c r="F266" s="346"/>
      <c r="G266" s="335">
        <f>(C266*'HT-Sõidukikütused (M1)'!$C$31)*D266/E266</f>
        <v>3.5597503422040169E-2</v>
      </c>
      <c r="H266" s="332" t="s">
        <v>2019</v>
      </c>
      <c r="I266" s="332" t="s">
        <v>2169</v>
      </c>
    </row>
    <row r="267" spans="2:9" ht="15" customHeight="1">
      <c r="B267" s="332" t="s">
        <v>1492</v>
      </c>
      <c r="C267" s="802"/>
      <c r="D267" s="802"/>
      <c r="E267" s="802"/>
      <c r="F267" s="802"/>
      <c r="G267" s="335">
        <v>0.10227</v>
      </c>
      <c r="H267" s="332" t="s">
        <v>2019</v>
      </c>
      <c r="I267" s="323" t="s">
        <v>315</v>
      </c>
    </row>
    <row r="268" spans="2:9" ht="15" customHeight="1">
      <c r="B268" s="332" t="s">
        <v>1489</v>
      </c>
      <c r="C268" s="346">
        <v>0.43</v>
      </c>
      <c r="D268" s="803">
        <v>31958100</v>
      </c>
      <c r="E268" s="803">
        <v>264215433.77881944</v>
      </c>
      <c r="F268" s="346"/>
      <c r="G268" s="335">
        <f>(C268*('HT-Sõidukikütused (M1)'!$C$31+'HT-Sõidukikütused (M1)'!$C$29)/2)*D268/E268</f>
        <v>0.13962124099618892</v>
      </c>
      <c r="H268" s="332" t="s">
        <v>2019</v>
      </c>
      <c r="I268" s="332" t="s">
        <v>2170</v>
      </c>
    </row>
    <row r="269" spans="2:9" ht="15" customHeight="1">
      <c r="B269" s="332" t="s">
        <v>1490</v>
      </c>
      <c r="C269" s="346">
        <v>0.25</v>
      </c>
      <c r="D269" s="803">
        <v>49946300</v>
      </c>
      <c r="E269" s="803">
        <v>310544600</v>
      </c>
      <c r="F269" s="346"/>
      <c r="G269" s="335">
        <f>(C269*'HT-Sõidukikütused (M1)'!$C$31)*D269/E269</f>
        <v>0.10637694721086439</v>
      </c>
      <c r="H269" s="332" t="s">
        <v>2019</v>
      </c>
      <c r="I269" s="332" t="s">
        <v>2169</v>
      </c>
    </row>
    <row r="270" spans="2:9" ht="15" customHeight="1">
      <c r="B270" s="408" t="s">
        <v>1483</v>
      </c>
      <c r="C270" s="431"/>
      <c r="D270" s="431"/>
      <c r="E270" s="431"/>
      <c r="F270" s="431"/>
      <c r="G270" s="335">
        <v>0.15353000000000003</v>
      </c>
      <c r="H270" s="332" t="s">
        <v>2019</v>
      </c>
      <c r="I270" s="323" t="s">
        <v>315</v>
      </c>
    </row>
    <row r="271" spans="2:9" ht="15" customHeight="1">
      <c r="B271" s="408" t="s">
        <v>1484</v>
      </c>
      <c r="C271" s="431"/>
      <c r="D271" s="431"/>
      <c r="E271" s="431"/>
      <c r="F271" s="431"/>
      <c r="G271" s="335">
        <v>0.15102000000000002</v>
      </c>
      <c r="H271" s="332" t="s">
        <v>2019</v>
      </c>
      <c r="I271" s="323" t="s">
        <v>315</v>
      </c>
    </row>
    <row r="272" spans="2:9" ht="15" customHeight="1">
      <c r="B272" s="408" t="s">
        <v>1485</v>
      </c>
      <c r="C272" s="431"/>
      <c r="D272" s="431"/>
      <c r="E272" s="431"/>
      <c r="F272" s="431"/>
      <c r="G272" s="335">
        <v>0.22652000000000003</v>
      </c>
      <c r="H272" s="332" t="s">
        <v>2019</v>
      </c>
      <c r="I272" s="323" t="s">
        <v>315</v>
      </c>
    </row>
    <row r="273" spans="2:9" ht="15" customHeight="1">
      <c r="B273" s="408" t="s">
        <v>1487</v>
      </c>
      <c r="C273" s="431"/>
      <c r="D273" s="431"/>
      <c r="E273" s="431"/>
      <c r="F273" s="431"/>
      <c r="G273" s="335">
        <v>0.59147000000000005</v>
      </c>
      <c r="H273" s="332" t="s">
        <v>2019</v>
      </c>
      <c r="I273" s="323" t="s">
        <v>315</v>
      </c>
    </row>
    <row r="274" spans="2:9" ht="15" customHeight="1">
      <c r="B274" s="434" t="s">
        <v>1488</v>
      </c>
      <c r="C274" s="431"/>
      <c r="D274" s="431"/>
      <c r="E274" s="431"/>
      <c r="F274" s="431"/>
      <c r="G274" s="335">
        <v>0.19309000000000001</v>
      </c>
      <c r="H274" s="332" t="s">
        <v>2019</v>
      </c>
      <c r="I274" s="323" t="s">
        <v>315</v>
      </c>
    </row>
    <row r="275" spans="2:9" ht="15" customHeight="1">
      <c r="B275" s="434" t="s">
        <v>1493</v>
      </c>
      <c r="C275" s="431"/>
      <c r="D275" s="431"/>
      <c r="E275" s="431"/>
      <c r="F275" s="431"/>
      <c r="G275" s="335">
        <v>0.14787000000000003</v>
      </c>
      <c r="H275" s="332" t="s">
        <v>2019</v>
      </c>
      <c r="I275" s="323" t="s">
        <v>315</v>
      </c>
    </row>
    <row r="276" spans="2:9" ht="15" customHeight="1">
      <c r="B276" s="434" t="s">
        <v>1494</v>
      </c>
      <c r="C276" s="431"/>
      <c r="D276" s="431"/>
      <c r="E276" s="431"/>
      <c r="F276" s="431"/>
      <c r="G276" s="335">
        <v>0.42882000000000003</v>
      </c>
      <c r="H276" s="332" t="s">
        <v>2019</v>
      </c>
      <c r="I276" s="323" t="s">
        <v>315</v>
      </c>
    </row>
    <row r="277" spans="2:9" ht="15" customHeight="1">
      <c r="B277" s="435" t="s">
        <v>1486</v>
      </c>
      <c r="C277" s="431"/>
      <c r="D277" s="431"/>
      <c r="E277" s="431"/>
      <c r="F277" s="431"/>
      <c r="G277" s="335">
        <v>0.24586999999999998</v>
      </c>
      <c r="H277" s="332" t="s">
        <v>2019</v>
      </c>
      <c r="I277" s="323" t="s">
        <v>315</v>
      </c>
    </row>
    <row r="278" spans="2:9" ht="15" customHeight="1">
      <c r="B278" s="434" t="s">
        <v>1495</v>
      </c>
      <c r="C278" s="431"/>
      <c r="D278" s="431"/>
      <c r="E278" s="431"/>
      <c r="F278" s="431"/>
      <c r="G278" s="335">
        <v>1.8737999999999998E-2</v>
      </c>
      <c r="H278" s="332" t="s">
        <v>2019</v>
      </c>
      <c r="I278" s="323" t="s">
        <v>315</v>
      </c>
    </row>
    <row r="279" spans="2:9" ht="15" customHeight="1">
      <c r="B279" s="434" t="s">
        <v>1481</v>
      </c>
      <c r="C279" s="436"/>
      <c r="D279" s="436"/>
      <c r="E279" s="436"/>
      <c r="F279" s="436"/>
      <c r="G279" s="335">
        <v>0</v>
      </c>
      <c r="H279" s="332" t="s">
        <v>2019</v>
      </c>
      <c r="I279" s="323" t="s">
        <v>146</v>
      </c>
    </row>
    <row r="280" spans="2:9" ht="15" customHeight="1">
      <c r="B280" s="434" t="s">
        <v>1482</v>
      </c>
      <c r="C280" s="346">
        <v>1.62</v>
      </c>
      <c r="D280" s="803">
        <v>3815188</v>
      </c>
      <c r="E280" s="803">
        <v>218374000</v>
      </c>
      <c r="F280" s="346"/>
      <c r="G280" s="335">
        <f>(C280*'HT-Sõidukikütused (M1)'!$C$13)*D280/E280</f>
        <v>8.2569295647856603E-2</v>
      </c>
      <c r="H280" s="332" t="s">
        <v>2019</v>
      </c>
      <c r="I280" s="332" t="s">
        <v>2171</v>
      </c>
    </row>
    <row r="281" spans="2:9" ht="30" customHeight="1">
      <c r="B281" s="434" t="s">
        <v>1555</v>
      </c>
      <c r="C281" s="431"/>
      <c r="D281" s="431"/>
      <c r="E281" s="431"/>
      <c r="F281" s="431"/>
      <c r="G281" s="335">
        <v>4.4599999999999996E-3</v>
      </c>
      <c r="H281" s="808" t="s">
        <v>2019</v>
      </c>
      <c r="I281" s="827" t="s">
        <v>315</v>
      </c>
    </row>
    <row r="282" spans="2:9" ht="15" customHeight="1">
      <c r="B282" s="434" t="s">
        <v>1499</v>
      </c>
      <c r="C282" s="436"/>
      <c r="D282" s="436"/>
      <c r="E282" s="436"/>
      <c r="F282" s="436"/>
      <c r="G282" s="335">
        <v>0</v>
      </c>
      <c r="H282" s="332" t="s">
        <v>2019</v>
      </c>
      <c r="I282" s="323" t="s">
        <v>146</v>
      </c>
    </row>
    <row r="283" spans="2:9" ht="15" customHeight="1">
      <c r="B283" s="434" t="s">
        <v>1480</v>
      </c>
      <c r="C283" s="431"/>
      <c r="D283" s="431"/>
      <c r="E283" s="431"/>
      <c r="F283" s="431"/>
      <c r="G283" s="335">
        <v>0.127629410548775</v>
      </c>
      <c r="H283" s="332" t="s">
        <v>2019</v>
      </c>
      <c r="I283" s="430" t="s">
        <v>1850</v>
      </c>
    </row>
    <row r="284" spans="2:9" ht="15" customHeight="1">
      <c r="B284" s="434" t="s">
        <v>1497</v>
      </c>
      <c r="C284" s="431"/>
      <c r="D284" s="431"/>
      <c r="E284" s="431"/>
      <c r="F284" s="431"/>
      <c r="G284" s="335">
        <v>2.8000000000000001E-2</v>
      </c>
      <c r="H284" s="332" t="s">
        <v>2019</v>
      </c>
      <c r="I284" s="323" t="s">
        <v>315</v>
      </c>
    </row>
    <row r="285" spans="2:9" ht="15" customHeight="1">
      <c r="B285" s="434" t="s">
        <v>1498</v>
      </c>
      <c r="C285" s="436"/>
      <c r="D285" s="436"/>
      <c r="E285" s="436"/>
      <c r="F285" s="436"/>
      <c r="G285" s="335">
        <v>0</v>
      </c>
      <c r="H285" s="332" t="s">
        <v>2019</v>
      </c>
      <c r="I285" s="323" t="s">
        <v>146</v>
      </c>
    </row>
    <row r="286" spans="2:9" ht="15" customHeight="1">
      <c r="B286" s="408" t="s">
        <v>1496</v>
      </c>
      <c r="C286" s="436"/>
      <c r="D286" s="436"/>
      <c r="E286" s="436"/>
      <c r="F286" s="436"/>
      <c r="G286" s="335">
        <v>0</v>
      </c>
      <c r="H286" s="332" t="s">
        <v>2019</v>
      </c>
      <c r="I286" s="323" t="s">
        <v>146</v>
      </c>
    </row>
    <row r="288" spans="2:9" ht="15" customHeight="1">
      <c r="B288" s="826" t="s">
        <v>1936</v>
      </c>
    </row>
    <row r="289" spans="2:9" ht="15" customHeight="1">
      <c r="B289" s="320" t="s">
        <v>371</v>
      </c>
      <c r="C289" s="423"/>
      <c r="D289" s="423"/>
      <c r="E289" s="423"/>
      <c r="F289" s="423"/>
      <c r="G289" s="423"/>
      <c r="H289" s="423"/>
      <c r="I289" s="424"/>
    </row>
    <row r="290" spans="2:9" ht="15" customHeight="1">
      <c r="B290" s="405" t="s">
        <v>1450</v>
      </c>
      <c r="C290" s="793" t="s">
        <v>485</v>
      </c>
      <c r="D290" s="793" t="s">
        <v>2148</v>
      </c>
      <c r="E290" s="793" t="s">
        <v>2149</v>
      </c>
      <c r="F290" s="793" t="s">
        <v>2150</v>
      </c>
      <c r="G290" s="405" t="s">
        <v>1938</v>
      </c>
      <c r="H290" s="405" t="s">
        <v>81</v>
      </c>
      <c r="I290" s="425" t="s">
        <v>142</v>
      </c>
    </row>
    <row r="291" spans="2:9" ht="15" customHeight="1">
      <c r="B291" s="332" t="s">
        <v>1500</v>
      </c>
      <c r="C291" s="379"/>
      <c r="D291" s="380"/>
      <c r="E291" s="381"/>
      <c r="F291" s="381"/>
      <c r="G291" s="335">
        <f>0.0124*'HT-Energia (M1, M2)'!$C$58</f>
        <v>7.8935919999999996E-3</v>
      </c>
      <c r="H291" s="337" t="s">
        <v>2017</v>
      </c>
      <c r="I291" s="437" t="s">
        <v>375</v>
      </c>
    </row>
    <row r="292" spans="2:9" ht="15" customHeight="1">
      <c r="B292" s="332" t="s">
        <v>1501</v>
      </c>
      <c r="C292" s="379"/>
      <c r="D292" s="380"/>
      <c r="E292" s="381"/>
      <c r="F292" s="381"/>
      <c r="G292" s="335">
        <v>0</v>
      </c>
      <c r="H292" s="337" t="s">
        <v>2017</v>
      </c>
      <c r="I292" s="323" t="s">
        <v>146</v>
      </c>
    </row>
    <row r="293" spans="2:9" ht="15" customHeight="1">
      <c r="B293" s="332" t="s">
        <v>114</v>
      </c>
      <c r="C293" s="379"/>
      <c r="D293" s="380"/>
      <c r="E293" s="381"/>
      <c r="F293" s="381"/>
      <c r="G293" s="335">
        <v>0</v>
      </c>
      <c r="H293" s="337" t="s">
        <v>2017</v>
      </c>
      <c r="I293" s="323" t="s">
        <v>146</v>
      </c>
    </row>
    <row r="294" spans="2:9" ht="15" customHeight="1">
      <c r="B294" s="332" t="s">
        <v>376</v>
      </c>
      <c r="C294" s="379"/>
      <c r="D294" s="380"/>
      <c r="E294" s="381"/>
      <c r="F294" s="381"/>
      <c r="G294" s="335">
        <v>0</v>
      </c>
      <c r="H294" s="337" t="s">
        <v>2017</v>
      </c>
      <c r="I294" s="440" t="s">
        <v>1439</v>
      </c>
    </row>
    <row r="295" spans="2:9" ht="15" customHeight="1">
      <c r="B295" s="360" t="s">
        <v>1511</v>
      </c>
      <c r="C295" s="379">
        <v>1528623.6975369859</v>
      </c>
      <c r="D295" s="380">
        <v>0.10078540307374209</v>
      </c>
      <c r="E295" s="381">
        <v>1.4827180446233142E-4</v>
      </c>
      <c r="F295" s="381">
        <v>3.0572473950739716E-6</v>
      </c>
      <c r="G295" s="335">
        <f>(D295+_xlfn.XLOOKUP(TULEMUSED!$D$4,'AR väärtused'!$B$4,'AR väärtused'!$C$4)*E295+_xlfn.XLOOKUP(TULEMUSED!$D$4,'AR väärtused'!$B$4,'AR väärtused'!$D$4)*F295)*10^6/C295</f>
        <v>6.895304454514524E-2</v>
      </c>
      <c r="H295" s="337" t="s">
        <v>2017</v>
      </c>
      <c r="I295" s="323" t="s">
        <v>1941</v>
      </c>
    </row>
    <row r="296" spans="2:9" ht="15" customHeight="1">
      <c r="B296" s="360" t="s">
        <v>1512</v>
      </c>
      <c r="C296" s="379">
        <v>21316520.426651198</v>
      </c>
      <c r="D296" s="380">
        <v>2.759724157228308</v>
      </c>
      <c r="E296" s="381">
        <v>1.6540935868967544E-3</v>
      </c>
      <c r="F296" s="381">
        <v>4.263304085330238E-5</v>
      </c>
      <c r="G296" s="335">
        <f>(D296+_xlfn.XLOOKUP(TULEMUSED!$D$4,'AR väärtused'!$B$4,'AR väärtused'!$C$4)*E296+_xlfn.XLOOKUP(TULEMUSED!$D$4,'AR väärtused'!$B$4,'AR väärtused'!$D$4)*F296)*10^6/C296</f>
        <v>0.13200002095825417</v>
      </c>
      <c r="H296" s="337" t="s">
        <v>2017</v>
      </c>
      <c r="I296" s="323" t="s">
        <v>1941</v>
      </c>
    </row>
    <row r="297" spans="2:9" ht="15" customHeight="1">
      <c r="B297" s="360" t="s">
        <v>1513</v>
      </c>
      <c r="C297" s="379">
        <v>21770075.725403301</v>
      </c>
      <c r="D297" s="380">
        <v>2.6257498693090588</v>
      </c>
      <c r="E297" s="381">
        <v>2.7272140960488168E-3</v>
      </c>
      <c r="F297" s="381">
        <v>4.3540151450806601E-5</v>
      </c>
      <c r="G297" s="335">
        <f>(D297+_xlfn.XLOOKUP(TULEMUSED!$D$4,'AR väärtused'!$B$4,'AR väärtused'!$C$4)*E297+_xlfn.XLOOKUP(TULEMUSED!$D$4,'AR väärtused'!$B$4,'AR väärtused'!$D$4)*F297)*10^6/C297</f>
        <v>0.12434064175918126</v>
      </c>
      <c r="H297" s="337" t="s">
        <v>2017</v>
      </c>
      <c r="I297" s="323" t="s">
        <v>1941</v>
      </c>
    </row>
    <row r="298" spans="2:9" ht="15" customHeight="1">
      <c r="B298" s="360" t="s">
        <v>1428</v>
      </c>
      <c r="C298" s="379">
        <v>8093750.942534171</v>
      </c>
      <c r="D298" s="380">
        <v>0.44895587804420117</v>
      </c>
      <c r="E298" s="381">
        <v>2.6828551538548662E-4</v>
      </c>
      <c r="F298" s="381">
        <v>8.0937509425341708E-6</v>
      </c>
      <c r="G298" s="335">
        <f>(D298+_xlfn.XLOOKUP(TULEMUSED!$D$4,'AR väärtused'!$B$4,'AR väärtused'!$C$4)*E298+_xlfn.XLOOKUP(TULEMUSED!$D$4,'AR väärtused'!$B$4,'AR väärtused'!$D$4)*F298)*10^6/C298</f>
        <v>5.6596126686138094E-2</v>
      </c>
      <c r="H298" s="337" t="s">
        <v>2017</v>
      </c>
      <c r="I298" s="323" t="s">
        <v>1941</v>
      </c>
    </row>
    <row r="299" spans="2:9" ht="15" customHeight="1">
      <c r="B299" s="360" t="s">
        <v>1727</v>
      </c>
      <c r="C299" s="379">
        <v>110462131.91222186</v>
      </c>
      <c r="D299" s="380">
        <v>0</v>
      </c>
      <c r="E299" s="381">
        <v>2.9402505174710974E-3</v>
      </c>
      <c r="F299" s="381">
        <v>4.5335002552064183E-5</v>
      </c>
      <c r="G299" s="335">
        <f>(D299+_xlfn.XLOOKUP(TULEMUSED!$D$4,'AR väärtused'!$B$4,'AR väärtused'!$C$4)*E299+_xlfn.XLOOKUP(TULEMUSED!$D$4,'AR väärtused'!$B$4,'AR väärtused'!$D$4)*F299)*10^6/C299</f>
        <v>7.8774591971879945E-4</v>
      </c>
      <c r="H299" s="337" t="s">
        <v>2017</v>
      </c>
      <c r="I299" s="332" t="s">
        <v>336</v>
      </c>
    </row>
    <row r="300" spans="2:9" ht="15" customHeight="1">
      <c r="B300" s="360" t="s">
        <v>1728</v>
      </c>
      <c r="C300" s="379">
        <v>110462131.91222186</v>
      </c>
      <c r="D300" s="380">
        <v>17.206137309725243</v>
      </c>
      <c r="E300" s="381">
        <v>2.9402505174710974E-3</v>
      </c>
      <c r="F300" s="381">
        <v>4.5335002552064183E-5</v>
      </c>
      <c r="G300" s="335">
        <f>(D300+_xlfn.XLOOKUP(TULEMUSED!$D$4,'AR väärtused'!$B$4,'AR väärtused'!$C$4)*E300+_xlfn.XLOOKUP(TULEMUSED!$D$4,'AR väärtused'!$B$4,'AR väärtused'!$D$4)*F300)*10^6/C300</f>
        <v>0.15655277608768631</v>
      </c>
      <c r="H300" s="337" t="s">
        <v>2017</v>
      </c>
      <c r="I300" s="323" t="s">
        <v>1941</v>
      </c>
    </row>
    <row r="301" spans="2:9" ht="15" customHeight="1">
      <c r="B301" s="383" t="s">
        <v>2239</v>
      </c>
      <c r="C301" s="379">
        <v>19419117.115863044</v>
      </c>
      <c r="D301" s="380">
        <v>2.4388081333374609</v>
      </c>
      <c r="E301" s="381">
        <v>3.7020661376722898E-4</v>
      </c>
      <c r="F301" s="381">
        <v>3.5827752782013653E-5</v>
      </c>
      <c r="G301" s="335">
        <f>G319*0.75</f>
        <v>0.14432171666978094</v>
      </c>
      <c r="H301" s="337" t="s">
        <v>2017</v>
      </c>
      <c r="I301" s="332" t="s">
        <v>2215</v>
      </c>
    </row>
    <row r="302" spans="2:9" ht="15" customHeight="1">
      <c r="B302" s="383" t="s">
        <v>2241</v>
      </c>
      <c r="C302" s="379">
        <v>19419117.115863044</v>
      </c>
      <c r="D302" s="380">
        <v>2.4388081333374609</v>
      </c>
      <c r="E302" s="381">
        <v>3.7020661376722898E-4</v>
      </c>
      <c r="F302" s="381">
        <v>3.5827752782013653E-5</v>
      </c>
      <c r="G302" s="335">
        <f>G319*0.75+0.2*'HT-Energia (M1, M2)'!$C$58*0.25</f>
        <v>0.17615071666978094</v>
      </c>
      <c r="H302" s="337" t="s">
        <v>2017</v>
      </c>
      <c r="I302" s="332" t="s">
        <v>2219</v>
      </c>
    </row>
    <row r="303" spans="2:9" ht="15" customHeight="1">
      <c r="B303" s="383" t="s">
        <v>2240</v>
      </c>
      <c r="C303" s="379">
        <v>12285356.399931636</v>
      </c>
      <c r="D303" s="380">
        <v>1.840362809214563</v>
      </c>
      <c r="E303" s="381">
        <v>3.5934667469800026E-7</v>
      </c>
      <c r="F303" s="381">
        <v>7.5312353574058988E-5</v>
      </c>
      <c r="G303" s="335">
        <f>G323*0.75</f>
        <v>0.12964175001153405</v>
      </c>
      <c r="H303" s="337" t="s">
        <v>2017</v>
      </c>
      <c r="I303" s="332" t="s">
        <v>2215</v>
      </c>
    </row>
    <row r="304" spans="2:9" ht="15" customHeight="1">
      <c r="B304" s="383" t="s">
        <v>2242</v>
      </c>
      <c r="C304" s="379">
        <v>12285356.399931636</v>
      </c>
      <c r="D304" s="380">
        <v>1.840362809214563</v>
      </c>
      <c r="E304" s="381">
        <v>3.5934667469800026E-7</v>
      </c>
      <c r="F304" s="381">
        <v>7.5312353574058988E-5</v>
      </c>
      <c r="G304" s="335">
        <f>G323*0.75+0.2*'HT-Energia (M1, M2)'!$C$58*0.25</f>
        <v>0.16147075001153405</v>
      </c>
      <c r="H304" s="337" t="s">
        <v>2017</v>
      </c>
      <c r="I304" s="332" t="s">
        <v>2219</v>
      </c>
    </row>
    <row r="305" spans="2:9" ht="15" customHeight="1">
      <c r="B305" s="360" t="s">
        <v>1510</v>
      </c>
      <c r="C305" s="379">
        <v>1</v>
      </c>
      <c r="D305" s="380">
        <v>0</v>
      </c>
      <c r="E305" s="381">
        <v>0</v>
      </c>
      <c r="F305" s="381">
        <v>0</v>
      </c>
      <c r="G305" s="335">
        <f>(D305+_xlfn.XLOOKUP(TULEMUSED!$D$4,'AR väärtused'!$B$4,'AR väärtused'!$C$4)*E305+_xlfn.XLOOKUP(TULEMUSED!$D$4,'AR väärtused'!$B$4,'AR väärtused'!$D$4)*F305)*10^6/C305</f>
        <v>0</v>
      </c>
      <c r="H305" s="337" t="s">
        <v>2017</v>
      </c>
      <c r="I305" s="323" t="s">
        <v>146</v>
      </c>
    </row>
    <row r="306" spans="2:9" ht="15" customHeight="1">
      <c r="B306" s="332" t="s">
        <v>1874</v>
      </c>
      <c r="C306" s="379"/>
      <c r="D306" s="380"/>
      <c r="E306" s="381"/>
      <c r="F306" s="381"/>
      <c r="G306" s="335">
        <f>0.2*'HT-Energia (M1, M2)'!$C$58</f>
        <v>0.12731600000000001</v>
      </c>
      <c r="H306" s="332" t="s">
        <v>2017</v>
      </c>
      <c r="I306" s="332" t="s">
        <v>2220</v>
      </c>
    </row>
    <row r="307" spans="2:9" ht="15" customHeight="1">
      <c r="B307" s="360" t="s">
        <v>1729</v>
      </c>
      <c r="C307" s="379">
        <v>167895576.61922288</v>
      </c>
      <c r="D307" s="380">
        <v>26.975369319537272</v>
      </c>
      <c r="E307" s="381">
        <v>4.4565353152827211E-3</v>
      </c>
      <c r="F307" s="381">
        <v>5.5487809259920106E-4</v>
      </c>
      <c r="G307" s="335">
        <f>(D307+_xlfn.XLOOKUP(TULEMUSED!$D$4,'AR väärtused'!$B$4,'AR väärtused'!$C$4)*E307+_xlfn.XLOOKUP(TULEMUSED!$D$4,'AR väärtused'!$B$4,'AR väärtused'!$D$4)*F307)*10^6/C307</f>
        <v>0.16231598784654178</v>
      </c>
      <c r="H307" s="337" t="s">
        <v>2017</v>
      </c>
      <c r="I307" s="323" t="s">
        <v>1941</v>
      </c>
    </row>
    <row r="308" spans="2:9" ht="15" customHeight="1">
      <c r="B308" s="426" t="s">
        <v>1465</v>
      </c>
      <c r="C308" s="379">
        <v>1753161772.9878268</v>
      </c>
      <c r="D308" s="380">
        <v>332.72190908849512</v>
      </c>
      <c r="E308" s="381">
        <v>4.457580864477631E-2</v>
      </c>
      <c r="F308" s="381">
        <v>4.6403415735313553E-3</v>
      </c>
      <c r="G308" s="335">
        <f>(D308+_xlfn.XLOOKUP(TULEMUSED!$D$4,'AR väärtused'!$B$4,'AR väärtused'!$C$4)*E308+_xlfn.XLOOKUP(TULEMUSED!$D$4,'AR väärtused'!$B$4,'AR väärtused'!$D$4)*F308)*10^6/C308</f>
        <v>0.19120832501511228</v>
      </c>
      <c r="H308" s="337" t="s">
        <v>2017</v>
      </c>
      <c r="I308" s="323" t="s">
        <v>1941</v>
      </c>
    </row>
    <row r="309" spans="2:9" ht="15" customHeight="1">
      <c r="B309" s="426" t="s">
        <v>1466</v>
      </c>
      <c r="C309" s="379"/>
      <c r="D309" s="380"/>
      <c r="E309" s="381"/>
      <c r="F309" s="381"/>
      <c r="G309" s="335">
        <f>G311/'HT-Sõidukikütused (M1)'!$C$9*'HT-Sõidukikütused (M1)'!$C$6</f>
        <v>8.093991289471315E-3</v>
      </c>
      <c r="H309" s="337" t="s">
        <v>2017</v>
      </c>
      <c r="I309" s="323" t="s">
        <v>367</v>
      </c>
    </row>
    <row r="310" spans="2:9" ht="15" customHeight="1">
      <c r="B310" s="426" t="s">
        <v>1467</v>
      </c>
      <c r="C310" s="379"/>
      <c r="D310" s="380"/>
      <c r="E310" s="381"/>
      <c r="F310" s="381"/>
      <c r="G310" s="335">
        <f>G311/'HT-Sõidukikütused (M1)'!$C$9*'HT-Sõidukikütused (M1)'!$C$7</f>
        <v>1.9951640983688428E-3</v>
      </c>
      <c r="H310" s="337" t="s">
        <v>2017</v>
      </c>
      <c r="I310" s="323" t="s">
        <v>366</v>
      </c>
    </row>
    <row r="311" spans="2:9" ht="15" customHeight="1">
      <c r="B311" s="426" t="s">
        <v>1468</v>
      </c>
      <c r="C311" s="379">
        <v>2579504739.9597011</v>
      </c>
      <c r="D311" s="380">
        <v>383.04282931303277</v>
      </c>
      <c r="E311" s="381">
        <v>2.2460977707988335E-3</v>
      </c>
      <c r="F311" s="381">
        <v>1.8118884625464411E-2</v>
      </c>
      <c r="G311" s="335">
        <f>(D311+_xlfn.XLOOKUP(TULEMUSED!$D$4,'AR väärtused'!$B$4,'AR väärtused'!$C$4)*E311+_xlfn.XLOOKUP(TULEMUSED!$D$4,'AR väärtused'!$B$4,'AR väärtused'!$D$4)*F311)*10^6/C311</f>
        <v>0.15060969005304506</v>
      </c>
      <c r="H311" s="337" t="s">
        <v>2017</v>
      </c>
      <c r="I311" s="323" t="s">
        <v>1941</v>
      </c>
    </row>
    <row r="312" spans="2:9" ht="15" customHeight="1">
      <c r="B312" s="427" t="s">
        <v>1477</v>
      </c>
      <c r="C312" s="379">
        <v>85423921.867673472</v>
      </c>
      <c r="D312" s="380">
        <v>10.152626945571914</v>
      </c>
      <c r="E312" s="381">
        <v>1.6285241322075545E-3</v>
      </c>
      <c r="F312" s="381">
        <v>1.5760485587910491E-4</v>
      </c>
      <c r="G312" s="335">
        <f>(D312+_xlfn.XLOOKUP(TULEMUSED!$D$4,'AR väärtused'!$B$4,'AR väärtused'!$C$4)*E312+_xlfn.XLOOKUP(TULEMUSED!$D$4,'AR väärtused'!$B$4,'AR väärtused'!$D$4)*F312)*10^6/C312</f>
        <v>0.11987633056454484</v>
      </c>
      <c r="H312" s="337" t="s">
        <v>2017</v>
      </c>
      <c r="I312" s="323" t="s">
        <v>1941</v>
      </c>
    </row>
    <row r="313" spans="2:9" ht="15" customHeight="1">
      <c r="B313" s="426" t="s">
        <v>1469</v>
      </c>
      <c r="C313" s="379">
        <v>493688984.89825708</v>
      </c>
      <c r="D313" s="380">
        <v>119.59264696255987</v>
      </c>
      <c r="E313" s="381">
        <v>1.4537378574828126E-2</v>
      </c>
      <c r="F313" s="381">
        <v>1.7467023208926559E-3</v>
      </c>
      <c r="G313" s="335">
        <f>(D313+_xlfn.XLOOKUP(TULEMUSED!$D$4,'AR väärtused'!$B$4,'AR väärtused'!$C$4)*E313+_xlfn.XLOOKUP(TULEMUSED!$D$4,'AR väärtused'!$B$4,'AR väärtused'!$D$4)*F313)*10^6/C313</f>
        <v>0.24403339431076276</v>
      </c>
      <c r="H313" s="337" t="s">
        <v>2017</v>
      </c>
      <c r="I313" s="323" t="s">
        <v>1941</v>
      </c>
    </row>
    <row r="314" spans="2:9" ht="15" customHeight="1">
      <c r="B314" s="426" t="s">
        <v>1470</v>
      </c>
      <c r="C314" s="379"/>
      <c r="D314" s="380"/>
      <c r="E314" s="381"/>
      <c r="F314" s="381"/>
      <c r="G314" s="335">
        <f>G316/'HT-Sõidukikütused (M1)'!$C$9*'HT-Sõidukikütused (M1)'!$C$6</f>
        <v>1.0833388430693966E-2</v>
      </c>
      <c r="H314" s="337" t="s">
        <v>2017</v>
      </c>
      <c r="I314" s="323" t="s">
        <v>367</v>
      </c>
    </row>
    <row r="315" spans="2:9" ht="15" customHeight="1">
      <c r="B315" s="426" t="s">
        <v>1471</v>
      </c>
      <c r="C315" s="379"/>
      <c r="D315" s="380"/>
      <c r="E315" s="381"/>
      <c r="F315" s="381"/>
      <c r="G315" s="335">
        <f>G316/'HT-Sõidukikütused (M1)'!$C$9*'HT-Sõidukikütused (M1)'!$C$7</f>
        <v>2.6704238845328423E-3</v>
      </c>
      <c r="H315" s="337" t="s">
        <v>2017</v>
      </c>
      <c r="I315" s="323" t="s">
        <v>366</v>
      </c>
    </row>
    <row r="316" spans="2:9" ht="15" customHeight="1">
      <c r="B316" s="426" t="s">
        <v>1472</v>
      </c>
      <c r="C316" s="379">
        <v>2030828042.2134192</v>
      </c>
      <c r="D316" s="380">
        <v>404.97380545309801</v>
      </c>
      <c r="E316" s="381">
        <v>2.4237535370090478E-3</v>
      </c>
      <c r="F316" s="381">
        <v>1.4585801596754683E-2</v>
      </c>
      <c r="G316" s="335">
        <f>(D316+_xlfn.XLOOKUP(TULEMUSED!$D$4,'AR väärtused'!$B$4,'AR väärtused'!$C$4)*E316+_xlfn.XLOOKUP(TULEMUSED!$D$4,'AR väärtused'!$B$4,'AR väärtused'!$D$4)*F316)*10^6/C316</f>
        <v>0.20158327522460634</v>
      </c>
      <c r="H316" s="337" t="s">
        <v>2017</v>
      </c>
      <c r="I316" s="323" t="s">
        <v>1941</v>
      </c>
    </row>
    <row r="317" spans="2:9" ht="15" customHeight="1">
      <c r="B317" s="427" t="s">
        <v>1478</v>
      </c>
      <c r="C317" s="379">
        <v>60010476.081715532</v>
      </c>
      <c r="D317" s="380">
        <v>7.5261436272458608</v>
      </c>
      <c r="E317" s="381">
        <v>1.1440414622466647E-3</v>
      </c>
      <c r="F317" s="381">
        <v>1.1071772668955825E-4</v>
      </c>
      <c r="G317" s="335">
        <f>(D317+_xlfn.XLOOKUP(TULEMUSED!$D$4,'AR väärtused'!$B$4,'AR väärtused'!$C$4)*E317+_xlfn.XLOOKUP(TULEMUSED!$D$4,'AR väärtused'!$B$4,'AR väärtused'!$D$4)*F317)*10^6/C317</f>
        <v>0.12644023246913397</v>
      </c>
      <c r="H317" s="337" t="s">
        <v>2017</v>
      </c>
      <c r="I317" s="323" t="s">
        <v>1941</v>
      </c>
    </row>
    <row r="318" spans="2:9" ht="15" customHeight="1">
      <c r="B318" s="360" t="s">
        <v>1726</v>
      </c>
      <c r="C318" s="379">
        <v>8121792884.9024372</v>
      </c>
      <c r="D318" s="380">
        <v>1435.7542930421771</v>
      </c>
      <c r="E318" s="381">
        <v>8.7799650296917081E-2</v>
      </c>
      <c r="F318" s="381">
        <v>4.1502198681943436E-2</v>
      </c>
      <c r="G318" s="335">
        <f>(D318+_xlfn.XLOOKUP(TULEMUSED!$D$4,'AR väärtused'!$B$4,'AR väärtused'!$C$4)*E318+_xlfn.XLOOKUP(TULEMUSED!$D$4,'AR väärtused'!$B$4,'AR väärtused'!$D$4)*F318)*10^6/C318</f>
        <v>0.17857103229051885</v>
      </c>
      <c r="H318" s="337" t="s">
        <v>2017</v>
      </c>
      <c r="I318" s="323" t="s">
        <v>337</v>
      </c>
    </row>
    <row r="319" spans="2:9" ht="15" customHeight="1">
      <c r="B319" s="426" t="s">
        <v>1720</v>
      </c>
      <c r="C319" s="379">
        <v>3007334297.6365356</v>
      </c>
      <c r="D319" s="380">
        <v>574.56887730348797</v>
      </c>
      <c r="E319" s="381">
        <v>7.5396054840334265E-2</v>
      </c>
      <c r="F319" s="381">
        <v>7.531608183188019E-3</v>
      </c>
      <c r="G319" s="335">
        <f>(D319+_xlfn.XLOOKUP(TULEMUSED!$D$4,'AR väärtused'!$B$4,'AR väärtused'!$C$4)*E319+_xlfn.XLOOKUP(TULEMUSED!$D$4,'AR väärtused'!$B$4,'AR väärtused'!$D$4)*F319)*10^6/C319</f>
        <v>0.1924289555597079</v>
      </c>
      <c r="H319" s="337" t="s">
        <v>2017</v>
      </c>
      <c r="I319" s="323" t="s">
        <v>331</v>
      </c>
    </row>
    <row r="320" spans="2:9" ht="15" customHeight="1">
      <c r="B320" s="426" t="s">
        <v>1721</v>
      </c>
      <c r="C320" s="379">
        <v>7660306602.3444614</v>
      </c>
      <c r="D320" s="380">
        <v>1368.9027543037982</v>
      </c>
      <c r="E320" s="381">
        <v>8.0085795562816406E-2</v>
      </c>
      <c r="F320" s="381">
        <v>4.0556807059059147E-2</v>
      </c>
      <c r="G320" s="335">
        <f>(D320+_xlfn.XLOOKUP(TULEMUSED!$D$4,'AR väärtused'!$B$4,'AR väärtused'!$C$4)*E320+_xlfn.XLOOKUP(TULEMUSED!$D$4,'AR väärtused'!$B$4,'AR väärtused'!$D$4)*F320)*10^6/C320</f>
        <v>0.18053987907914804</v>
      </c>
      <c r="H320" s="337" t="s">
        <v>2017</v>
      </c>
      <c r="I320" s="323" t="s">
        <v>333</v>
      </c>
    </row>
    <row r="321" spans="2:9" ht="15" customHeight="1">
      <c r="B321" s="426" t="s">
        <v>1722</v>
      </c>
      <c r="C321" s="379"/>
      <c r="D321" s="380"/>
      <c r="E321" s="381"/>
      <c r="F321" s="381"/>
      <c r="G321" s="335">
        <f>G323/'HT-Sõidukikütused (M1)'!$C$9*'HT-Sõidukikütused (M1)'!$C$6</f>
        <v>9.2895235357530401E-3</v>
      </c>
      <c r="H321" s="337" t="s">
        <v>2017</v>
      </c>
      <c r="I321" s="323" t="s">
        <v>367</v>
      </c>
    </row>
    <row r="322" spans="2:9" ht="15" customHeight="1">
      <c r="B322" s="426" t="s">
        <v>1723</v>
      </c>
      <c r="C322" s="379"/>
      <c r="D322" s="380"/>
      <c r="E322" s="381"/>
      <c r="F322" s="381"/>
      <c r="G322" s="335">
        <f>G323/'HT-Sõidukikütused (M1)'!$C$9*'HT-Sõidukikütused (M1)'!$C$7</f>
        <v>2.2898620948105164E-3</v>
      </c>
      <c r="H322" s="337" t="s">
        <v>2017</v>
      </c>
      <c r="I322" s="323" t="s">
        <v>366</v>
      </c>
    </row>
    <row r="323" spans="2:9" ht="15" customHeight="1">
      <c r="B323" s="426" t="s">
        <v>1724</v>
      </c>
      <c r="C323" s="379">
        <v>4652972304.7079258</v>
      </c>
      <c r="D323" s="380">
        <v>794.33387700031017</v>
      </c>
      <c r="E323" s="381">
        <v>4.6897407224821414E-3</v>
      </c>
      <c r="F323" s="381">
        <v>3.3025198875871131E-2</v>
      </c>
      <c r="G323" s="335">
        <f>(D323+_xlfn.XLOOKUP(TULEMUSED!$D$4,'AR väärtused'!$B$4,'AR väärtused'!$C$4)*E323+_xlfn.XLOOKUP(TULEMUSED!$D$4,'AR väärtused'!$B$4,'AR väärtused'!$D$4)*F323)*10^6/C323</f>
        <v>0.17285566668204541</v>
      </c>
      <c r="H323" s="337" t="s">
        <v>2017</v>
      </c>
      <c r="I323" s="323" t="s">
        <v>332</v>
      </c>
    </row>
    <row r="324" spans="2:9" ht="15" customHeight="1">
      <c r="B324" s="427" t="s">
        <v>1725</v>
      </c>
      <c r="C324" s="379">
        <v>151424100.5107345</v>
      </c>
      <c r="D324" s="380">
        <v>18.390861166563557</v>
      </c>
      <c r="E324" s="381">
        <v>2.886753458376069E-3</v>
      </c>
      <c r="F324" s="381">
        <v>2.7937342392902461E-4</v>
      </c>
      <c r="G324" s="335">
        <f>(D324+_xlfn.XLOOKUP(TULEMUSED!$D$4,'AR väärtused'!$B$4,'AR väärtused'!$C$4)*E324+_xlfn.XLOOKUP(TULEMUSED!$D$4,'AR väärtused'!$B$4,'AR väärtused'!$D$4)*F324)*10^6/C324</f>
        <v>0.12247907183070279</v>
      </c>
      <c r="H324" s="337" t="s">
        <v>2017</v>
      </c>
      <c r="I324" s="427" t="s">
        <v>334</v>
      </c>
    </row>
    <row r="325" spans="2:9" ht="15" customHeight="1">
      <c r="B325" s="426" t="s">
        <v>1473</v>
      </c>
      <c r="C325" s="379">
        <v>760483539.75045097</v>
      </c>
      <c r="D325" s="380">
        <v>122.254321252433</v>
      </c>
      <c r="E325" s="381">
        <v>1.6282867620729814E-2</v>
      </c>
      <c r="F325" s="381">
        <v>1.1445642887640073E-3</v>
      </c>
      <c r="G325" s="335">
        <f>(D325+_xlfn.XLOOKUP(TULEMUSED!$D$4,'AR väärtused'!$B$4,'AR väärtused'!$C$4)*E325+_xlfn.XLOOKUP(TULEMUSED!$D$4,'AR väärtused'!$B$4,'AR väärtused'!$D$4)*F325)*10^6/C325</f>
        <v>0.16174245288907316</v>
      </c>
      <c r="H325" s="337" t="s">
        <v>2017</v>
      </c>
      <c r="I325" s="323" t="s">
        <v>1941</v>
      </c>
    </row>
    <row r="326" spans="2:9" ht="15" customHeight="1">
      <c r="B326" s="426" t="s">
        <v>1474</v>
      </c>
      <c r="C326" s="379"/>
      <c r="D326" s="380"/>
      <c r="E326" s="381"/>
      <c r="F326" s="381"/>
      <c r="G326" s="335">
        <f>G328/'HT-Sõidukikütused (M1)'!$C$9*'HT-Sõidukikütused (M1)'!$C$6</f>
        <v>8.0830600737259416E-3</v>
      </c>
      <c r="H326" s="337" t="s">
        <v>2017</v>
      </c>
      <c r="I326" s="323" t="s">
        <v>367</v>
      </c>
    </row>
    <row r="327" spans="2:9" ht="15" customHeight="1">
      <c r="B327" s="426" t="s">
        <v>1475</v>
      </c>
      <c r="C327" s="379"/>
      <c r="D327" s="380"/>
      <c r="E327" s="381"/>
      <c r="F327" s="381"/>
      <c r="G327" s="335">
        <f>G328/'HT-Sõidukikütused (M1)'!$C$9*'HT-Sõidukikütused (M1)'!$C$7</f>
        <v>1.9924695601087061E-3</v>
      </c>
      <c r="H327" s="337" t="s">
        <v>2017</v>
      </c>
      <c r="I327" s="323" t="s">
        <v>366</v>
      </c>
    </row>
    <row r="328" spans="2:9" ht="15" customHeight="1">
      <c r="B328" s="428" t="s">
        <v>1476</v>
      </c>
      <c r="C328" s="379">
        <v>42639522.534805164</v>
      </c>
      <c r="D328" s="380">
        <v>6.3172422341794316</v>
      </c>
      <c r="E328" s="381">
        <v>1.9889414674259044E-5</v>
      </c>
      <c r="F328" s="381">
        <v>3.2051265365204618E-4</v>
      </c>
      <c r="G328" s="335">
        <f>(D328+_xlfn.XLOOKUP(TULEMUSED!$D$4,'AR väärtused'!$B$4,'AR väärtused'!$C$4)*E328+_xlfn.XLOOKUP(TULEMUSED!$D$4,'AR väärtused'!$B$4,'AR väärtused'!$D$4)*F328)*10^6/C328</f>
        <v>0.15040628644703238</v>
      </c>
      <c r="H328" s="337" t="s">
        <v>2017</v>
      </c>
      <c r="I328" s="323" t="s">
        <v>1941</v>
      </c>
    </row>
    <row r="329" spans="2:9" ht="15" customHeight="1">
      <c r="B329" s="429" t="s">
        <v>1479</v>
      </c>
      <c r="C329" s="379">
        <v>5989702.5613455428</v>
      </c>
      <c r="D329" s="380">
        <v>0.71209059374577899</v>
      </c>
      <c r="E329" s="381">
        <v>1.1418786392184968E-4</v>
      </c>
      <c r="F329" s="381">
        <v>1.1050841360361438E-5</v>
      </c>
      <c r="G329" s="335">
        <f>(D329+_xlfn.XLOOKUP(TULEMUSED!$D$4,'AR väärtused'!$B$4,'AR väärtused'!$C$4)*E329+_xlfn.XLOOKUP(TULEMUSED!$D$4,'AR väärtused'!$B$4,'AR väärtused'!$D$4)*F329)*10^6/C329</f>
        <v>0.1199122049405849</v>
      </c>
      <c r="H329" s="337" t="s">
        <v>2017</v>
      </c>
      <c r="I329" s="323" t="s">
        <v>1941</v>
      </c>
    </row>
    <row r="330" spans="2:9" ht="15" customHeight="1">
      <c r="B330" s="430" t="s">
        <v>1480</v>
      </c>
      <c r="C330" s="379"/>
      <c r="D330" s="380"/>
      <c r="E330" s="381"/>
      <c r="F330" s="381"/>
      <c r="G330" s="335">
        <f>G320</f>
        <v>0.18053987907914804</v>
      </c>
      <c r="H330" s="337" t="s">
        <v>2017</v>
      </c>
      <c r="I330" s="323" t="s">
        <v>333</v>
      </c>
    </row>
    <row r="331" spans="2:9" ht="15" customHeight="1">
      <c r="B331" s="441"/>
      <c r="C331" s="396"/>
      <c r="D331" s="396"/>
      <c r="E331" s="396"/>
      <c r="F331" s="396"/>
      <c r="G331" s="396"/>
      <c r="H331" s="442"/>
      <c r="I331" s="396"/>
    </row>
    <row r="332" spans="2:9" ht="15" customHeight="1">
      <c r="B332" s="443"/>
      <c r="C332" s="443"/>
      <c r="D332" s="443"/>
      <c r="E332" s="443"/>
      <c r="F332" s="443"/>
      <c r="G332" s="443"/>
      <c r="H332" s="443"/>
      <c r="I332" s="443"/>
    </row>
    <row r="333" spans="2:9" ht="45" customHeight="1">
      <c r="B333" s="405" t="s">
        <v>1502</v>
      </c>
      <c r="C333" s="405" t="s">
        <v>2176</v>
      </c>
      <c r="D333" s="405" t="s">
        <v>2166</v>
      </c>
      <c r="E333" s="405" t="s">
        <v>2167</v>
      </c>
      <c r="F333" s="405"/>
      <c r="G333" s="405" t="s">
        <v>1938</v>
      </c>
      <c r="H333" s="405" t="s">
        <v>81</v>
      </c>
      <c r="I333" s="405" t="s">
        <v>142</v>
      </c>
    </row>
    <row r="334" spans="2:9" ht="15" customHeight="1">
      <c r="B334" s="332" t="s">
        <v>1505</v>
      </c>
      <c r="C334" s="346">
        <v>0.43</v>
      </c>
      <c r="D334" s="803">
        <v>31958100</v>
      </c>
      <c r="E334" s="803">
        <v>264215433.77881944</v>
      </c>
      <c r="F334" s="346"/>
      <c r="G334" s="335">
        <f>(C334*('HT-Sõidukikütused (M1)'!$C$31+'HT-Sõidukikütused (M1)'!$C$29)/2)*D334/E334</f>
        <v>0.13962124099618892</v>
      </c>
      <c r="H334" s="332" t="s">
        <v>2019</v>
      </c>
      <c r="I334" s="332" t="s">
        <v>2170</v>
      </c>
    </row>
    <row r="335" spans="2:9" ht="15" customHeight="1">
      <c r="B335" s="332" t="s">
        <v>1503</v>
      </c>
      <c r="C335" s="346">
        <v>0.25</v>
      </c>
      <c r="D335" s="803">
        <v>49946300</v>
      </c>
      <c r="E335" s="803">
        <v>310544600</v>
      </c>
      <c r="F335" s="346"/>
      <c r="G335" s="335">
        <f>(C335*'HT-Sõidukikütused (M1)'!$C$31)*D335/E335</f>
        <v>0.10637694721086439</v>
      </c>
      <c r="H335" s="332" t="s">
        <v>2019</v>
      </c>
      <c r="I335" s="332" t="s">
        <v>2169</v>
      </c>
    </row>
    <row r="336" spans="2:9" ht="15" customHeight="1">
      <c r="B336" s="332" t="s">
        <v>2243</v>
      </c>
      <c r="C336" s="346">
        <v>0.81</v>
      </c>
      <c r="D336" s="803">
        <v>5781443</v>
      </c>
      <c r="E336" s="803">
        <v>290361000</v>
      </c>
      <c r="F336" s="346"/>
      <c r="G336" s="335">
        <f>(C336*('HT-Sõidukikütused (M1)'!$C$13+'HT-Energia (M1, M2)'!$C$57)/2)*D336/E336</f>
        <v>2.3525644994077052E-2</v>
      </c>
      <c r="H336" s="332" t="s">
        <v>2019</v>
      </c>
      <c r="I336" s="332" t="s">
        <v>2172</v>
      </c>
    </row>
    <row r="337" spans="2:9" ht="15" customHeight="1">
      <c r="B337" s="332" t="s">
        <v>1506</v>
      </c>
      <c r="C337" s="346">
        <v>1.62</v>
      </c>
      <c r="D337" s="803">
        <v>3815188</v>
      </c>
      <c r="E337" s="803">
        <v>218374000</v>
      </c>
      <c r="F337" s="346"/>
      <c r="G337" s="335">
        <f>(C337*'HT-Sõidukikütused (M1)'!$C$13)*D337/E337</f>
        <v>8.2569295647856603E-2</v>
      </c>
      <c r="H337" s="332" t="s">
        <v>2019</v>
      </c>
      <c r="I337" s="332" t="s">
        <v>2171</v>
      </c>
    </row>
    <row r="338" spans="2:9" ht="15" customHeight="1">
      <c r="B338" s="332" t="s">
        <v>1504</v>
      </c>
      <c r="C338" s="439"/>
      <c r="D338" s="439"/>
      <c r="E338" s="439"/>
      <c r="F338" s="439"/>
      <c r="G338" s="335">
        <v>0</v>
      </c>
      <c r="H338" s="332" t="s">
        <v>2019</v>
      </c>
      <c r="I338" s="323" t="s">
        <v>146</v>
      </c>
    </row>
    <row r="339" spans="2:9" ht="15" customHeight="1">
      <c r="B339" s="444" t="s">
        <v>1480</v>
      </c>
      <c r="C339" s="438"/>
      <c r="D339" s="438"/>
      <c r="E339" s="438"/>
      <c r="F339" s="438"/>
      <c r="G339" s="335">
        <v>0.127629410548775</v>
      </c>
      <c r="H339" s="332" t="s">
        <v>2019</v>
      </c>
      <c r="I339" s="430" t="s">
        <v>1850</v>
      </c>
    </row>
    <row r="340" spans="2:9" ht="15" customHeight="1">
      <c r="B340" s="332" t="s">
        <v>373</v>
      </c>
      <c r="C340" s="439"/>
      <c r="D340" s="439"/>
      <c r="E340" s="439"/>
      <c r="F340" s="439"/>
      <c r="G340" s="335">
        <v>0</v>
      </c>
      <c r="H340" s="332" t="s">
        <v>2019</v>
      </c>
      <c r="I340" s="323" t="s">
        <v>146</v>
      </c>
    </row>
    <row r="341" spans="2:9" ht="15" customHeight="1">
      <c r="B341" s="332" t="s">
        <v>374</v>
      </c>
      <c r="C341" s="439"/>
      <c r="D341" s="439"/>
      <c r="E341" s="439"/>
      <c r="F341" s="439"/>
      <c r="G341" s="335">
        <v>0</v>
      </c>
      <c r="H341" s="332" t="s">
        <v>2019</v>
      </c>
      <c r="I341" s="323" t="s">
        <v>146</v>
      </c>
    </row>
  </sheetData>
  <mergeCells count="5">
    <mergeCell ref="B193:B194"/>
    <mergeCell ref="B215:B216"/>
    <mergeCell ref="B165:B166"/>
    <mergeCell ref="G165:I166"/>
    <mergeCell ref="F165:F166"/>
  </mergeCells>
  <phoneticPr fontId="35" type="noConversion"/>
  <conditionalFormatting sqref="I147">
    <cfRule type="expression" dxfId="2" priority="3" stopIfTrue="1">
      <formula>NOT(I147="")</formula>
    </cfRule>
  </conditionalFormatting>
  <conditionalFormatting sqref="I225">
    <cfRule type="expression" dxfId="1" priority="2" stopIfTrue="1">
      <formula>NOT(I225="")</formula>
    </cfRule>
  </conditionalFormatting>
  <conditionalFormatting sqref="I289">
    <cfRule type="expression" dxfId="0" priority="1" stopIfTrue="1">
      <formula>NOT(I289="")</formula>
    </cfRule>
  </conditionalFormatting>
  <hyperlinks>
    <hyperlink ref="A2" location="Sisukord!A1" display="Sisukord"/>
  </hyperlinks>
  <pageMargins left="0.70866141732283472" right="0.70866141732283472" top="0.74803149606299213" bottom="0.74803149606299213" header="0.31496062992125984" footer="0.31496062992125984"/>
  <pageSetup scale="85"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Q126"/>
  <sheetViews>
    <sheetView showGridLines="0" zoomScale="90" zoomScaleNormal="90" workbookViewId="0">
      <pane xSplit="1" ySplit="1" topLeftCell="B32" activePane="bottomRight" state="frozen"/>
      <selection activeCell="B5" sqref="B5"/>
      <selection pane="topRight" activeCell="B5" sqref="B5"/>
      <selection pane="bottomLeft" activeCell="B5" sqref="B5"/>
      <selection pane="bottomRight" activeCell="D23" sqref="D23"/>
    </sheetView>
  </sheetViews>
  <sheetFormatPr defaultColWidth="9.453125" defaultRowHeight="15"/>
  <cols>
    <col min="1" max="1" width="7.1796875" style="302" customWidth="1"/>
    <col min="2" max="2" width="33.453125" style="297" customWidth="1"/>
    <col min="3" max="16" width="9.453125" style="297"/>
    <col min="17" max="17" width="93.54296875" style="297" customWidth="1"/>
    <col min="18" max="16384" width="9.453125" style="297"/>
  </cols>
  <sheetData>
    <row r="1" spans="1:17" ht="21" customHeight="1">
      <c r="B1" s="291" t="s">
        <v>383</v>
      </c>
    </row>
    <row r="2" spans="1:17" ht="15" customHeight="1">
      <c r="A2" s="295" t="s">
        <v>1</v>
      </c>
      <c r="B2" s="319"/>
    </row>
    <row r="3" spans="1:17">
      <c r="B3" s="320" t="s">
        <v>1815</v>
      </c>
      <c r="C3" s="321" t="s">
        <v>1816</v>
      </c>
      <c r="D3" s="321"/>
      <c r="E3" s="321"/>
      <c r="F3" s="321"/>
      <c r="G3" s="321"/>
      <c r="H3" s="321"/>
      <c r="I3" s="321"/>
      <c r="J3" s="321"/>
      <c r="K3" s="321"/>
      <c r="L3" s="321"/>
      <c r="M3" s="321"/>
      <c r="N3" s="321"/>
      <c r="O3" s="321"/>
      <c r="P3" s="321"/>
      <c r="Q3" s="322" t="s">
        <v>1863</v>
      </c>
    </row>
    <row r="4" spans="1:17" ht="14">
      <c r="A4" s="297"/>
      <c r="B4" s="323" t="s">
        <v>317</v>
      </c>
      <c r="C4" s="323" t="s">
        <v>384</v>
      </c>
      <c r="D4" s="324"/>
      <c r="E4" s="325"/>
      <c r="F4" s="325"/>
      <c r="G4" s="325"/>
      <c r="H4" s="325"/>
      <c r="I4" s="325"/>
      <c r="J4" s="325"/>
      <c r="K4" s="325"/>
      <c r="L4" s="325"/>
      <c r="M4" s="325"/>
      <c r="N4" s="325"/>
      <c r="O4" s="325"/>
      <c r="P4" s="325"/>
      <c r="Q4" s="850" t="s">
        <v>1893</v>
      </c>
    </row>
    <row r="5" spans="1:17" ht="14">
      <c r="A5" s="297"/>
      <c r="B5" s="323" t="s">
        <v>146</v>
      </c>
      <c r="C5" s="323" t="s">
        <v>385</v>
      </c>
      <c r="D5" s="324"/>
      <c r="E5" s="325"/>
      <c r="F5" s="325"/>
      <c r="G5" s="325"/>
      <c r="H5" s="325"/>
      <c r="I5" s="325"/>
      <c r="J5" s="325"/>
      <c r="K5" s="325"/>
      <c r="L5" s="325"/>
      <c r="M5" s="325"/>
      <c r="N5" s="325"/>
      <c r="O5" s="325"/>
      <c r="P5" s="325"/>
      <c r="Q5" s="850" t="s">
        <v>1861</v>
      </c>
    </row>
    <row r="6" spans="1:17" ht="14">
      <c r="A6" s="297"/>
      <c r="B6" s="323" t="s">
        <v>386</v>
      </c>
      <c r="C6" s="323" t="s">
        <v>387</v>
      </c>
      <c r="D6" s="324"/>
      <c r="E6" s="325"/>
      <c r="F6" s="325"/>
      <c r="G6" s="325"/>
      <c r="H6" s="325"/>
      <c r="I6" s="325"/>
      <c r="J6" s="325"/>
      <c r="K6" s="325"/>
      <c r="L6" s="325"/>
      <c r="M6" s="325"/>
      <c r="N6" s="325"/>
      <c r="O6" s="325"/>
      <c r="P6" s="325"/>
      <c r="Q6" s="850" t="s">
        <v>1862</v>
      </c>
    </row>
    <row r="7" spans="1:17" ht="16">
      <c r="A7" s="297"/>
      <c r="B7" s="323" t="s">
        <v>180</v>
      </c>
      <c r="C7" s="323" t="s">
        <v>2005</v>
      </c>
      <c r="D7" s="324"/>
      <c r="E7" s="325"/>
      <c r="F7" s="325"/>
      <c r="G7" s="325"/>
      <c r="H7" s="325"/>
      <c r="I7" s="325"/>
      <c r="J7" s="325"/>
      <c r="K7" s="325"/>
      <c r="L7" s="325"/>
      <c r="M7" s="325"/>
      <c r="N7" s="325"/>
      <c r="O7" s="325"/>
      <c r="P7" s="325"/>
      <c r="Q7" s="850" t="s">
        <v>1864</v>
      </c>
    </row>
    <row r="8" spans="1:17" ht="14.5">
      <c r="A8" s="297"/>
      <c r="B8" s="323" t="s">
        <v>2217</v>
      </c>
      <c r="C8" s="323" t="s">
        <v>2221</v>
      </c>
      <c r="D8" s="325"/>
      <c r="E8" s="325"/>
      <c r="F8" s="325"/>
      <c r="G8" s="325"/>
      <c r="H8" s="325"/>
      <c r="I8" s="325"/>
      <c r="J8" s="325"/>
      <c r="K8" s="325"/>
      <c r="L8" s="325"/>
      <c r="M8" s="325"/>
      <c r="N8" s="325"/>
      <c r="O8" s="325"/>
      <c r="P8" s="326"/>
      <c r="Q8" s="851" t="s">
        <v>2218</v>
      </c>
    </row>
    <row r="9" spans="1:17" ht="14.5">
      <c r="A9" s="297"/>
      <c r="B9" s="323" t="s">
        <v>1514</v>
      </c>
      <c r="C9" s="323" t="s">
        <v>1865</v>
      </c>
      <c r="D9" s="324"/>
      <c r="E9" s="325"/>
      <c r="F9" s="325"/>
      <c r="G9" s="325"/>
      <c r="H9" s="325"/>
      <c r="I9" s="325"/>
      <c r="J9" s="325"/>
      <c r="K9" s="325"/>
      <c r="L9" s="325"/>
      <c r="M9" s="325"/>
      <c r="N9" s="325"/>
      <c r="O9" s="325"/>
      <c r="P9" s="325"/>
      <c r="Q9" s="851" t="s">
        <v>1558</v>
      </c>
    </row>
    <row r="10" spans="1:17" ht="14.5">
      <c r="A10" s="297"/>
      <c r="B10" s="323" t="s">
        <v>2180</v>
      </c>
      <c r="C10" s="324" t="s">
        <v>2182</v>
      </c>
      <c r="D10" s="325"/>
      <c r="E10" s="325"/>
      <c r="F10" s="325"/>
      <c r="G10" s="325"/>
      <c r="H10" s="325"/>
      <c r="I10" s="325"/>
      <c r="J10" s="325"/>
      <c r="K10" s="325"/>
      <c r="L10" s="325"/>
      <c r="M10" s="325"/>
      <c r="N10" s="325"/>
      <c r="O10" s="325"/>
      <c r="P10" s="326"/>
      <c r="Q10" s="851" t="s">
        <v>2181</v>
      </c>
    </row>
    <row r="11" spans="1:17" ht="14.5">
      <c r="A11" s="297"/>
      <c r="B11" s="323" t="s">
        <v>165</v>
      </c>
      <c r="C11" s="323" t="s">
        <v>2246</v>
      </c>
      <c r="D11" s="324"/>
      <c r="E11" s="325"/>
      <c r="F11" s="325"/>
      <c r="G11" s="325"/>
      <c r="H11" s="325"/>
      <c r="I11" s="325"/>
      <c r="J11" s="325"/>
      <c r="K11" s="325"/>
      <c r="L11" s="325"/>
      <c r="M11" s="325"/>
      <c r="N11" s="325"/>
      <c r="O11" s="325"/>
      <c r="P11" s="325"/>
      <c r="Q11" s="851" t="s">
        <v>1866</v>
      </c>
    </row>
    <row r="12" spans="1:17" ht="14">
      <c r="A12" s="297"/>
      <c r="B12" s="323" t="s">
        <v>160</v>
      </c>
      <c r="C12" s="323" t="s">
        <v>2247</v>
      </c>
      <c r="D12" s="324"/>
      <c r="E12" s="325"/>
      <c r="F12" s="325"/>
      <c r="G12" s="325"/>
      <c r="H12" s="325"/>
      <c r="I12" s="325"/>
      <c r="J12" s="325"/>
      <c r="K12" s="325"/>
      <c r="L12" s="325"/>
      <c r="M12" s="325"/>
      <c r="N12" s="325"/>
      <c r="O12" s="325"/>
      <c r="P12" s="325"/>
      <c r="Q12" s="850" t="s">
        <v>1866</v>
      </c>
    </row>
    <row r="13" spans="1:17" ht="14">
      <c r="A13" s="297"/>
      <c r="B13" s="323" t="s">
        <v>1941</v>
      </c>
      <c r="C13" s="323" t="s">
        <v>388</v>
      </c>
      <c r="D13" s="324"/>
      <c r="E13" s="325"/>
      <c r="F13" s="325"/>
      <c r="G13" s="325"/>
      <c r="H13" s="325"/>
      <c r="I13" s="325"/>
      <c r="J13" s="325"/>
      <c r="K13" s="325"/>
      <c r="L13" s="325"/>
      <c r="M13" s="325"/>
      <c r="N13" s="325"/>
      <c r="O13" s="325"/>
      <c r="P13" s="325"/>
      <c r="Q13" s="850" t="s">
        <v>1867</v>
      </c>
    </row>
    <row r="14" spans="1:17">
      <c r="B14" s="323" t="s">
        <v>361</v>
      </c>
      <c r="C14" s="323" t="s">
        <v>389</v>
      </c>
      <c r="D14" s="324"/>
      <c r="E14" s="325"/>
      <c r="F14" s="325"/>
      <c r="G14" s="325"/>
      <c r="H14" s="325"/>
      <c r="I14" s="325"/>
      <c r="J14" s="325"/>
      <c r="K14" s="325"/>
      <c r="L14" s="325"/>
      <c r="M14" s="325"/>
      <c r="N14" s="325"/>
      <c r="O14" s="325"/>
      <c r="P14" s="325"/>
      <c r="Q14" s="850" t="s">
        <v>1868</v>
      </c>
    </row>
    <row r="15" spans="1:17" ht="16">
      <c r="B15" s="323" t="s">
        <v>380</v>
      </c>
      <c r="C15" s="327" t="s">
        <v>2006</v>
      </c>
      <c r="D15" s="324"/>
      <c r="E15" s="325"/>
      <c r="F15" s="325"/>
      <c r="G15" s="325"/>
      <c r="H15" s="325"/>
      <c r="I15" s="325"/>
      <c r="J15" s="325"/>
      <c r="K15" s="325"/>
      <c r="L15" s="325"/>
      <c r="M15" s="325"/>
      <c r="N15" s="325"/>
      <c r="O15" s="325"/>
      <c r="P15" s="325"/>
      <c r="Q15" s="440" t="s">
        <v>1439</v>
      </c>
    </row>
    <row r="16" spans="1:17">
      <c r="B16" s="323" t="s">
        <v>315</v>
      </c>
      <c r="C16" s="323" t="s">
        <v>390</v>
      </c>
      <c r="D16" s="324"/>
      <c r="E16" s="325"/>
      <c r="F16" s="325"/>
      <c r="G16" s="325"/>
      <c r="H16" s="325"/>
      <c r="I16" s="325"/>
      <c r="J16" s="325"/>
      <c r="K16" s="325"/>
      <c r="L16" s="325"/>
      <c r="M16" s="325"/>
      <c r="N16" s="325"/>
      <c r="O16" s="325"/>
      <c r="P16" s="325"/>
      <c r="Q16" s="850" t="s">
        <v>1869</v>
      </c>
    </row>
    <row r="21" spans="1:1" ht="14">
      <c r="A21" s="297"/>
    </row>
    <row r="43" spans="1:2">
      <c r="B43" s="296" t="s">
        <v>2292</v>
      </c>
    </row>
    <row r="44" spans="1:2" ht="14">
      <c r="A44" s="297"/>
    </row>
    <row r="45" spans="1:2" ht="14">
      <c r="A45" s="297"/>
      <c r="B45" s="297" t="s">
        <v>13</v>
      </c>
    </row>
    <row r="46" spans="1:2" ht="14">
      <c r="A46" s="297"/>
      <c r="B46" s="297" t="s">
        <v>19</v>
      </c>
    </row>
    <row r="47" spans="1:2" ht="14">
      <c r="A47" s="297"/>
      <c r="B47" s="297" t="s">
        <v>20</v>
      </c>
    </row>
    <row r="48" spans="1:2" ht="14">
      <c r="A48" s="297"/>
    </row>
    <row r="49" spans="1:2" ht="14">
      <c r="A49" s="297"/>
      <c r="B49" s="297" t="s">
        <v>63</v>
      </c>
    </row>
    <row r="50" spans="1:2" ht="14">
      <c r="A50" s="297"/>
      <c r="B50" s="297" t="s">
        <v>391</v>
      </c>
    </row>
    <row r="51" spans="1:2" ht="14">
      <c r="A51" s="297"/>
      <c r="B51" s="297" t="s">
        <v>392</v>
      </c>
    </row>
    <row r="52" spans="1:2" ht="14">
      <c r="A52" s="297"/>
      <c r="B52" s="297" t="s">
        <v>393</v>
      </c>
    </row>
    <row r="53" spans="1:2" ht="14">
      <c r="A53" s="297"/>
      <c r="B53" s="297" t="s">
        <v>64</v>
      </c>
    </row>
    <row r="54" spans="1:2" ht="14">
      <c r="A54" s="297"/>
      <c r="B54" s="297" t="s">
        <v>394</v>
      </c>
    </row>
    <row r="55" spans="1:2" ht="14">
      <c r="A55" s="297"/>
      <c r="B55" s="297" t="s">
        <v>65</v>
      </c>
    </row>
    <row r="56" spans="1:2" ht="14">
      <c r="A56" s="297"/>
      <c r="B56" s="297" t="s">
        <v>395</v>
      </c>
    </row>
    <row r="57" spans="1:2" ht="14">
      <c r="A57" s="297"/>
      <c r="B57" s="297" t="s">
        <v>396</v>
      </c>
    </row>
    <row r="58" spans="1:2" ht="14">
      <c r="A58" s="297"/>
      <c r="B58" s="297" t="s">
        <v>2139</v>
      </c>
    </row>
    <row r="59" spans="1:2" ht="14">
      <c r="A59" s="297"/>
      <c r="B59" s="297" t="s">
        <v>1683</v>
      </c>
    </row>
    <row r="60" spans="1:2" ht="14">
      <c r="A60" s="297"/>
      <c r="B60" s="297" t="s">
        <v>1682</v>
      </c>
    </row>
    <row r="61" spans="1:2" ht="14">
      <c r="A61" s="297"/>
      <c r="B61" s="297" t="s">
        <v>397</v>
      </c>
    </row>
    <row r="62" spans="1:2" ht="14">
      <c r="A62" s="297"/>
      <c r="B62" s="297" t="s">
        <v>2296</v>
      </c>
    </row>
    <row r="63" spans="1:2" ht="14">
      <c r="A63" s="297"/>
    </row>
    <row r="64" spans="1:2" ht="14">
      <c r="A64" s="297"/>
      <c r="B64" s="296" t="s">
        <v>398</v>
      </c>
    </row>
    <row r="65" spans="1:2" ht="14">
      <c r="A65" s="297"/>
      <c r="B65" s="297" t="s">
        <v>75</v>
      </c>
    </row>
    <row r="66" spans="1:2" ht="14">
      <c r="A66" s="297"/>
      <c r="B66" s="297" t="s">
        <v>78</v>
      </c>
    </row>
    <row r="67" spans="1:2" ht="14">
      <c r="A67" s="297"/>
    </row>
    <row r="68" spans="1:2" ht="14">
      <c r="A68" s="297"/>
      <c r="B68" s="296" t="s">
        <v>2336</v>
      </c>
    </row>
    <row r="69" spans="1:2" ht="14">
      <c r="A69" s="297"/>
      <c r="B69" s="297" t="s">
        <v>1578</v>
      </c>
    </row>
    <row r="70" spans="1:2" ht="14">
      <c r="A70" s="297"/>
      <c r="B70" s="297" t="s">
        <v>1877</v>
      </c>
    </row>
    <row r="71" spans="1:2" ht="14">
      <c r="A71" s="297"/>
      <c r="B71" s="297" t="s">
        <v>1579</v>
      </c>
    </row>
    <row r="73" spans="1:2">
      <c r="B73" s="297" t="s">
        <v>1578</v>
      </c>
    </row>
    <row r="74" spans="1:2">
      <c r="B74" s="297" t="s">
        <v>2303</v>
      </c>
    </row>
    <row r="75" spans="1:2">
      <c r="B75" s="297" t="s">
        <v>2337</v>
      </c>
    </row>
    <row r="77" spans="1:2">
      <c r="B77" s="297" t="s">
        <v>2337</v>
      </c>
    </row>
    <row r="78" spans="1:2">
      <c r="B78" s="297" t="s">
        <v>2026</v>
      </c>
    </row>
    <row r="80" spans="1:2" ht="14">
      <c r="A80" s="297"/>
      <c r="B80" s="297" t="s">
        <v>2337</v>
      </c>
    </row>
    <row r="81" spans="1:2">
      <c r="B81" s="297" t="s">
        <v>2338</v>
      </c>
    </row>
    <row r="83" spans="1:2">
      <c r="B83" s="297" t="s">
        <v>485</v>
      </c>
    </row>
    <row r="84" spans="1:2">
      <c r="B84" s="297" t="s">
        <v>2307</v>
      </c>
    </row>
    <row r="86" spans="1:2">
      <c r="B86" s="297" t="s">
        <v>485</v>
      </c>
    </row>
    <row r="87" spans="1:2">
      <c r="B87" s="297" t="s">
        <v>2311</v>
      </c>
    </row>
    <row r="94" spans="1:2" ht="14">
      <c r="A94" s="297"/>
    </row>
    <row r="106" spans="1:1" ht="14">
      <c r="A106" s="297"/>
    </row>
    <row r="107" spans="1:1" ht="14">
      <c r="A107" s="297"/>
    </row>
    <row r="108" spans="1:1" ht="14">
      <c r="A108" s="297"/>
    </row>
    <row r="109" spans="1:1" ht="14">
      <c r="A109" s="297"/>
    </row>
    <row r="126" spans="1:1" ht="14">
      <c r="A126" s="297"/>
    </row>
  </sheetData>
  <dataValidations count="1">
    <dataValidation type="list" allowBlank="1" showInputMessage="1" showErrorMessage="1" sqref="E66:E67">
      <formula1>#REF!</formula1>
    </dataValidation>
  </dataValidations>
  <hyperlinks>
    <hyperlink ref="A2" location="Sisukord!A1" display="Sisukord"/>
    <hyperlink ref="Q4" r:id="rId1"/>
    <hyperlink ref="Q5" r:id="rId2"/>
    <hyperlink ref="Q6" r:id="rId3"/>
    <hyperlink ref="Q7" r:id="rId4"/>
    <hyperlink ref="Q9" r:id="rId5"/>
    <hyperlink ref="Q11" r:id="rId6"/>
    <hyperlink ref="Q12" r:id="rId7"/>
    <hyperlink ref="Q13" r:id="rId8" location="kasvuhoonegaaside-in"/>
    <hyperlink ref="Q14" r:id="rId9"/>
    <hyperlink ref="Q16" r:id="rId10"/>
    <hyperlink ref="Q10" r:id="rId11"/>
    <hyperlink ref="Q8" r:id="rId12"/>
  </hyperlinks>
  <pageMargins left="0.7" right="0.7" top="0.75" bottom="0.75" header="0.3" footer="0.3"/>
  <pageSetup orientation="portrait" horizontalDpi="4294967295" verticalDpi="4294967295" r:id="rId1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B129"/>
  <sheetViews>
    <sheetView topLeftCell="D1" zoomScale="80" zoomScaleNormal="80" workbookViewId="0">
      <selection activeCell="J12" sqref="J12"/>
    </sheetView>
  </sheetViews>
  <sheetFormatPr defaultRowHeight="14.5"/>
  <cols>
    <col min="1" max="1" width="16.54296875" customWidth="1"/>
    <col min="4" max="4" width="12.453125" customWidth="1"/>
    <col min="7" max="7" width="23.54296875" customWidth="1"/>
    <col min="8" max="9" width="26.453125" customWidth="1"/>
    <col min="10" max="10" width="19.453125" customWidth="1"/>
    <col min="11" max="11" width="28.453125" customWidth="1"/>
    <col min="12" max="12" width="20.453125" customWidth="1"/>
    <col min="13" max="13" width="18" customWidth="1"/>
    <col min="14" max="14" width="18.54296875" customWidth="1"/>
    <col min="15" max="15" width="19.453125" customWidth="1"/>
    <col min="16" max="16" width="48.453125" customWidth="1"/>
    <col min="17" max="17" width="47.453125" customWidth="1"/>
    <col min="18" max="18" width="44.453125" customWidth="1"/>
    <col min="19" max="19" width="45.54296875" customWidth="1"/>
    <col min="21" max="21" width="18.54296875" customWidth="1"/>
    <col min="22" max="22" width="13.54296875" customWidth="1"/>
    <col min="23" max="23" width="23.453125" customWidth="1"/>
  </cols>
  <sheetData>
    <row r="1" spans="1:28" s="207" customFormat="1">
      <c r="A1" s="207" t="s">
        <v>400</v>
      </c>
      <c r="B1" s="207" t="s">
        <v>401</v>
      </c>
      <c r="C1" s="207" t="s">
        <v>402</v>
      </c>
      <c r="D1" s="207" t="s">
        <v>403</v>
      </c>
      <c r="E1" s="207" t="s">
        <v>404</v>
      </c>
      <c r="F1" s="207" t="s">
        <v>405</v>
      </c>
      <c r="G1" s="207" t="s">
        <v>406</v>
      </c>
      <c r="H1" s="207" t="s">
        <v>407</v>
      </c>
      <c r="I1" s="207" t="s">
        <v>408</v>
      </c>
      <c r="J1" s="207" t="s">
        <v>409</v>
      </c>
      <c r="K1" s="207" t="s">
        <v>410</v>
      </c>
      <c r="L1" s="207" t="s">
        <v>411</v>
      </c>
      <c r="M1" s="207" t="s">
        <v>412</v>
      </c>
      <c r="N1" s="207" t="s">
        <v>413</v>
      </c>
      <c r="O1" s="207" t="s">
        <v>414</v>
      </c>
      <c r="P1" s="207" t="s">
        <v>415</v>
      </c>
      <c r="Q1" s="207" t="s">
        <v>416</v>
      </c>
      <c r="S1" s="207" t="s">
        <v>417</v>
      </c>
      <c r="V1" s="207" t="s">
        <v>418</v>
      </c>
      <c r="W1" s="207" t="s">
        <v>419</v>
      </c>
      <c r="Y1" s="207" t="s">
        <v>420</v>
      </c>
    </row>
    <row r="2" spans="1:28">
      <c r="A2" t="s">
        <v>421</v>
      </c>
      <c r="B2" t="s">
        <v>422</v>
      </c>
      <c r="C2" t="s">
        <v>423</v>
      </c>
      <c r="D2" t="s">
        <v>424</v>
      </c>
      <c r="E2" t="s">
        <v>425</v>
      </c>
      <c r="F2" t="s">
        <v>426</v>
      </c>
      <c r="G2" t="s">
        <v>408</v>
      </c>
      <c r="H2" t="s">
        <v>427</v>
      </c>
      <c r="I2" s="15" t="s">
        <v>428</v>
      </c>
      <c r="J2" t="s">
        <v>429</v>
      </c>
      <c r="K2" t="s">
        <v>430</v>
      </c>
      <c r="L2" t="s">
        <v>431</v>
      </c>
      <c r="M2" t="s">
        <v>432</v>
      </c>
      <c r="N2" t="s">
        <v>433</v>
      </c>
      <c r="O2" t="s">
        <v>434</v>
      </c>
      <c r="P2" t="s">
        <v>435</v>
      </c>
      <c r="Q2" t="s">
        <v>436</v>
      </c>
      <c r="R2" s="236" t="s">
        <v>437</v>
      </c>
      <c r="S2" t="s">
        <v>438</v>
      </c>
      <c r="T2" t="s">
        <v>433</v>
      </c>
      <c r="U2" t="s">
        <v>439</v>
      </c>
      <c r="V2" t="s">
        <v>440</v>
      </c>
      <c r="W2" t="s">
        <v>441</v>
      </c>
      <c r="Y2" t="s">
        <v>442</v>
      </c>
      <c r="AB2" t="s">
        <v>443</v>
      </c>
    </row>
    <row r="3" spans="1:28">
      <c r="A3" t="s">
        <v>444</v>
      </c>
      <c r="B3" t="s">
        <v>445</v>
      </c>
      <c r="C3" t="s">
        <v>446</v>
      </c>
      <c r="D3" t="s">
        <v>447</v>
      </c>
      <c r="E3" t="s">
        <v>448</v>
      </c>
      <c r="F3" t="s">
        <v>449</v>
      </c>
      <c r="G3" t="s">
        <v>450</v>
      </c>
      <c r="H3" t="s">
        <v>451</v>
      </c>
      <c r="I3" s="15" t="s">
        <v>452</v>
      </c>
      <c r="J3" t="s">
        <v>453</v>
      </c>
      <c r="K3" t="s">
        <v>454</v>
      </c>
      <c r="L3" t="s">
        <v>455</v>
      </c>
      <c r="M3" t="s">
        <v>456</v>
      </c>
      <c r="N3" t="s">
        <v>457</v>
      </c>
      <c r="O3" t="s">
        <v>458</v>
      </c>
      <c r="P3" t="s">
        <v>459</v>
      </c>
      <c r="Q3" t="s">
        <v>460</v>
      </c>
      <c r="R3" s="238" t="s">
        <v>461</v>
      </c>
      <c r="S3" t="s">
        <v>462</v>
      </c>
      <c r="T3" t="s">
        <v>457</v>
      </c>
      <c r="U3" t="s">
        <v>463</v>
      </c>
      <c r="V3" t="s">
        <v>464</v>
      </c>
      <c r="W3" t="s">
        <v>465</v>
      </c>
      <c r="Y3" t="s">
        <v>84</v>
      </c>
      <c r="AB3" t="s">
        <v>466</v>
      </c>
    </row>
    <row r="4" spans="1:28">
      <c r="A4" t="s">
        <v>467</v>
      </c>
      <c r="B4" t="s">
        <v>468</v>
      </c>
      <c r="C4" t="s">
        <v>469</v>
      </c>
      <c r="D4" t="s">
        <v>470</v>
      </c>
      <c r="E4" t="s">
        <v>471</v>
      </c>
      <c r="G4" t="s">
        <v>472</v>
      </c>
      <c r="H4" t="s">
        <v>473</v>
      </c>
      <c r="I4" s="15" t="s">
        <v>474</v>
      </c>
      <c r="K4" t="s">
        <v>475</v>
      </c>
      <c r="L4" t="s">
        <v>476</v>
      </c>
      <c r="M4" t="s">
        <v>477</v>
      </c>
      <c r="N4" t="s">
        <v>478</v>
      </c>
      <c r="O4" t="s">
        <v>479</v>
      </c>
      <c r="P4" t="s">
        <v>470</v>
      </c>
      <c r="Q4" t="s">
        <v>480</v>
      </c>
      <c r="R4" s="241" t="s">
        <v>461</v>
      </c>
      <c r="S4" t="s">
        <v>481</v>
      </c>
      <c r="T4" t="s">
        <v>482</v>
      </c>
      <c r="U4" t="s">
        <v>483</v>
      </c>
      <c r="V4" t="s">
        <v>484</v>
      </c>
      <c r="W4" t="s">
        <v>485</v>
      </c>
      <c r="Y4" t="s">
        <v>486</v>
      </c>
      <c r="AB4" t="s">
        <v>487</v>
      </c>
    </row>
    <row r="5" spans="1:28">
      <c r="E5" t="s">
        <v>399</v>
      </c>
      <c r="G5" t="s">
        <v>462</v>
      </c>
      <c r="I5" s="15" t="s">
        <v>488</v>
      </c>
      <c r="K5" t="s">
        <v>489</v>
      </c>
      <c r="L5" t="s">
        <v>490</v>
      </c>
      <c r="N5" t="s">
        <v>491</v>
      </c>
      <c r="O5" t="s">
        <v>492</v>
      </c>
      <c r="T5" t="s">
        <v>491</v>
      </c>
      <c r="U5" t="s">
        <v>493</v>
      </c>
      <c r="V5" t="s">
        <v>399</v>
      </c>
      <c r="W5" t="s">
        <v>494</v>
      </c>
      <c r="AB5" t="s">
        <v>495</v>
      </c>
    </row>
    <row r="6" spans="1:28">
      <c r="E6" t="s">
        <v>496</v>
      </c>
      <c r="G6" t="s">
        <v>438</v>
      </c>
      <c r="I6" s="18" t="s">
        <v>497</v>
      </c>
      <c r="K6" t="s">
        <v>470</v>
      </c>
      <c r="L6" t="s">
        <v>498</v>
      </c>
      <c r="N6" t="s">
        <v>499</v>
      </c>
      <c r="O6" t="s">
        <v>500</v>
      </c>
      <c r="S6" s="207" t="s">
        <v>462</v>
      </c>
      <c r="T6" t="s">
        <v>501</v>
      </c>
      <c r="U6" t="s">
        <v>502</v>
      </c>
      <c r="V6" t="s">
        <v>496</v>
      </c>
      <c r="W6" t="s">
        <v>503</v>
      </c>
      <c r="X6" t="s">
        <v>503</v>
      </c>
      <c r="AB6" t="s">
        <v>504</v>
      </c>
    </row>
    <row r="7" spans="1:28">
      <c r="E7" t="s">
        <v>440</v>
      </c>
      <c r="G7" t="s">
        <v>505</v>
      </c>
      <c r="I7" s="18" t="s">
        <v>506</v>
      </c>
      <c r="N7" t="s">
        <v>507</v>
      </c>
      <c r="O7" t="s">
        <v>508</v>
      </c>
      <c r="Q7" t="s">
        <v>509</v>
      </c>
      <c r="R7" s="236" t="s">
        <v>510</v>
      </c>
      <c r="S7" t="s">
        <v>470</v>
      </c>
      <c r="T7" t="s">
        <v>499</v>
      </c>
      <c r="U7" t="s">
        <v>511</v>
      </c>
      <c r="V7" t="s">
        <v>471</v>
      </c>
      <c r="W7" t="s">
        <v>512</v>
      </c>
      <c r="AB7" t="s">
        <v>513</v>
      </c>
    </row>
    <row r="8" spans="1:28">
      <c r="E8" t="s">
        <v>464</v>
      </c>
      <c r="G8" t="s">
        <v>514</v>
      </c>
      <c r="I8" s="18" t="s">
        <v>515</v>
      </c>
      <c r="O8" t="s">
        <v>516</v>
      </c>
      <c r="R8" s="238" t="s">
        <v>517</v>
      </c>
      <c r="S8" t="s">
        <v>518</v>
      </c>
      <c r="T8" t="s">
        <v>519</v>
      </c>
      <c r="U8" t="s">
        <v>520</v>
      </c>
      <c r="V8" t="s">
        <v>448</v>
      </c>
      <c r="W8" t="s">
        <v>521</v>
      </c>
      <c r="AB8" t="s">
        <v>522</v>
      </c>
    </row>
    <row r="9" spans="1:28">
      <c r="E9" t="s">
        <v>523</v>
      </c>
      <c r="I9" s="18" t="s">
        <v>524</v>
      </c>
      <c r="R9" s="241" t="s">
        <v>525</v>
      </c>
      <c r="S9" t="s">
        <v>526</v>
      </c>
      <c r="T9" t="s">
        <v>507</v>
      </c>
      <c r="U9" t="s">
        <v>527</v>
      </c>
      <c r="W9" t="s">
        <v>528</v>
      </c>
      <c r="AB9" t="s">
        <v>529</v>
      </c>
    </row>
    <row r="10" spans="1:28">
      <c r="E10" t="s">
        <v>530</v>
      </c>
      <c r="I10" s="15" t="s">
        <v>531</v>
      </c>
      <c r="Q10" t="s">
        <v>532</v>
      </c>
      <c r="R10" s="236" t="s">
        <v>533</v>
      </c>
      <c r="T10" t="s">
        <v>534</v>
      </c>
      <c r="U10" t="s">
        <v>535</v>
      </c>
      <c r="W10" t="s">
        <v>536</v>
      </c>
      <c r="AB10" t="s">
        <v>537</v>
      </c>
    </row>
    <row r="11" spans="1:28">
      <c r="E11" t="s">
        <v>538</v>
      </c>
      <c r="I11" s="18" t="s">
        <v>539</v>
      </c>
      <c r="R11" s="238" t="s">
        <v>540</v>
      </c>
      <c r="S11" s="207" t="s">
        <v>438</v>
      </c>
      <c r="T11" t="s">
        <v>135</v>
      </c>
      <c r="U11" t="s">
        <v>541</v>
      </c>
      <c r="AB11" t="s">
        <v>542</v>
      </c>
    </row>
    <row r="12" spans="1:28">
      <c r="E12" t="s">
        <v>84</v>
      </c>
      <c r="I12" s="18" t="s">
        <v>543</v>
      </c>
      <c r="R12" s="241" t="s">
        <v>544</v>
      </c>
      <c r="S12" t="s">
        <v>470</v>
      </c>
      <c r="T12" t="s">
        <v>84</v>
      </c>
      <c r="U12" t="s">
        <v>545</v>
      </c>
      <c r="AB12" t="s">
        <v>546</v>
      </c>
    </row>
    <row r="13" spans="1:28">
      <c r="E13" t="s">
        <v>547</v>
      </c>
      <c r="I13" s="18" t="s">
        <v>548</v>
      </c>
      <c r="O13" t="s">
        <v>434</v>
      </c>
      <c r="P13" s="236" t="s">
        <v>549</v>
      </c>
      <c r="Q13" t="s">
        <v>550</v>
      </c>
      <c r="R13" s="212" t="s">
        <v>476</v>
      </c>
      <c r="S13" t="s">
        <v>526</v>
      </c>
      <c r="T13" t="s">
        <v>551</v>
      </c>
      <c r="U13" t="s">
        <v>552</v>
      </c>
      <c r="AB13" t="s">
        <v>553</v>
      </c>
    </row>
    <row r="14" spans="1:28">
      <c r="E14" t="s">
        <v>554</v>
      </c>
      <c r="H14" s="242" t="s">
        <v>200</v>
      </c>
      <c r="I14" s="18" t="s">
        <v>555</v>
      </c>
      <c r="O14" t="s">
        <v>458</v>
      </c>
      <c r="P14" s="238" t="s">
        <v>556</v>
      </c>
      <c r="Q14" t="s">
        <v>557</v>
      </c>
      <c r="R14" s="236" t="s">
        <v>558</v>
      </c>
      <c r="T14" t="s">
        <v>559</v>
      </c>
      <c r="U14" t="s">
        <v>560</v>
      </c>
      <c r="AB14" t="s">
        <v>561</v>
      </c>
    </row>
    <row r="15" spans="1:28">
      <c r="E15" t="s">
        <v>562</v>
      </c>
      <c r="H15" s="242" t="s">
        <v>207</v>
      </c>
      <c r="I15" s="18" t="s">
        <v>563</v>
      </c>
      <c r="O15" t="s">
        <v>479</v>
      </c>
      <c r="P15" s="238" t="s">
        <v>564</v>
      </c>
      <c r="R15" s="238" t="s">
        <v>565</v>
      </c>
      <c r="S15" s="207" t="s">
        <v>481</v>
      </c>
      <c r="T15" t="s">
        <v>566</v>
      </c>
      <c r="U15" t="s">
        <v>567</v>
      </c>
      <c r="AB15" t="s">
        <v>568</v>
      </c>
    </row>
    <row r="16" spans="1:28">
      <c r="E16" t="s">
        <v>569</v>
      </c>
      <c r="H16" s="242" t="s">
        <v>213</v>
      </c>
      <c r="I16" s="18" t="s">
        <v>570</v>
      </c>
      <c r="O16" t="s">
        <v>492</v>
      </c>
      <c r="P16" s="238" t="s">
        <v>343</v>
      </c>
      <c r="R16" s="241" t="s">
        <v>571</v>
      </c>
      <c r="S16" t="s">
        <v>470</v>
      </c>
      <c r="T16" t="s">
        <v>442</v>
      </c>
      <c r="U16" t="s">
        <v>572</v>
      </c>
      <c r="AB16" t="s">
        <v>573</v>
      </c>
    </row>
    <row r="17" spans="5:28">
      <c r="E17" t="s">
        <v>574</v>
      </c>
      <c r="H17" s="242" t="s">
        <v>215</v>
      </c>
      <c r="I17" s="18" t="s">
        <v>575</v>
      </c>
      <c r="O17" t="s">
        <v>500</v>
      </c>
      <c r="P17" s="238" t="s">
        <v>576</v>
      </c>
      <c r="S17" t="s">
        <v>526</v>
      </c>
      <c r="T17" t="s">
        <v>577</v>
      </c>
      <c r="U17" t="s">
        <v>578</v>
      </c>
      <c r="AB17" t="s">
        <v>579</v>
      </c>
    </row>
    <row r="18" spans="5:28">
      <c r="H18" s="242" t="s">
        <v>198</v>
      </c>
      <c r="I18" s="18" t="s">
        <v>580</v>
      </c>
      <c r="O18" t="s">
        <v>508</v>
      </c>
      <c r="P18" s="238" t="s">
        <v>581</v>
      </c>
      <c r="Q18" t="s">
        <v>582</v>
      </c>
      <c r="R18" s="236" t="s">
        <v>583</v>
      </c>
      <c r="T18" t="s">
        <v>584</v>
      </c>
      <c r="U18" t="s">
        <v>585</v>
      </c>
      <c r="AB18" t="s">
        <v>586</v>
      </c>
    </row>
    <row r="19" spans="5:28">
      <c r="H19" s="242" t="s">
        <v>199</v>
      </c>
      <c r="I19" s="15" t="s">
        <v>587</v>
      </c>
      <c r="O19" t="s">
        <v>516</v>
      </c>
      <c r="P19" s="238" t="s">
        <v>588</v>
      </c>
      <c r="R19" s="238" t="s">
        <v>589</v>
      </c>
      <c r="T19" t="s">
        <v>590</v>
      </c>
      <c r="U19" t="s">
        <v>591</v>
      </c>
      <c r="AB19" t="s">
        <v>592</v>
      </c>
    </row>
    <row r="20" spans="5:28">
      <c r="H20" s="242" t="s">
        <v>201</v>
      </c>
      <c r="I20" s="18" t="s">
        <v>593</v>
      </c>
      <c r="P20" s="240"/>
      <c r="R20" s="238" t="s">
        <v>594</v>
      </c>
      <c r="T20" t="s">
        <v>485</v>
      </c>
      <c r="U20" t="s">
        <v>595</v>
      </c>
      <c r="AB20" t="s">
        <v>596</v>
      </c>
    </row>
    <row r="21" spans="5:28">
      <c r="H21" s="242" t="s">
        <v>202</v>
      </c>
      <c r="I21" s="18" t="s">
        <v>597</v>
      </c>
      <c r="P21" s="239"/>
      <c r="R21" s="238" t="s">
        <v>598</v>
      </c>
      <c r="T21" t="s">
        <v>399</v>
      </c>
      <c r="U21" t="s">
        <v>599</v>
      </c>
      <c r="AB21" t="s">
        <v>600</v>
      </c>
    </row>
    <row r="22" spans="5:28">
      <c r="H22" s="242" t="s">
        <v>203</v>
      </c>
      <c r="I22" s="18" t="s">
        <v>601</v>
      </c>
      <c r="O22" s="212" t="s">
        <v>549</v>
      </c>
      <c r="P22" s="236" t="s">
        <v>602</v>
      </c>
      <c r="R22" s="238" t="s">
        <v>603</v>
      </c>
      <c r="T22" t="s">
        <v>496</v>
      </c>
      <c r="U22" t="s">
        <v>604</v>
      </c>
      <c r="AB22" t="s">
        <v>605</v>
      </c>
    </row>
    <row r="23" spans="5:28">
      <c r="H23" s="242" t="s">
        <v>204</v>
      </c>
      <c r="I23" s="18" t="s">
        <v>606</v>
      </c>
      <c r="P23" s="238" t="s">
        <v>607</v>
      </c>
      <c r="R23" s="238" t="s">
        <v>608</v>
      </c>
      <c r="T23" t="s">
        <v>609</v>
      </c>
      <c r="U23" t="s">
        <v>610</v>
      </c>
      <c r="AB23" t="s">
        <v>611</v>
      </c>
    </row>
    <row r="24" spans="5:28">
      <c r="H24" s="242" t="s">
        <v>205</v>
      </c>
      <c r="I24" s="43" t="s">
        <v>612</v>
      </c>
      <c r="P24" s="238" t="s">
        <v>613</v>
      </c>
      <c r="R24" s="238" t="s">
        <v>614</v>
      </c>
      <c r="T24" t="s">
        <v>484</v>
      </c>
      <c r="U24" t="s">
        <v>523</v>
      </c>
      <c r="AB24" t="s">
        <v>615</v>
      </c>
    </row>
    <row r="25" spans="5:28">
      <c r="H25" s="242" t="s">
        <v>206</v>
      </c>
      <c r="I25" s="43" t="s">
        <v>616</v>
      </c>
      <c r="P25" s="238" t="s">
        <v>617</v>
      </c>
      <c r="R25" s="238" t="s">
        <v>618</v>
      </c>
      <c r="T25" t="s">
        <v>440</v>
      </c>
      <c r="U25" t="s">
        <v>619</v>
      </c>
      <c r="AB25" t="s">
        <v>620</v>
      </c>
    </row>
    <row r="26" spans="5:28">
      <c r="H26" s="242" t="s">
        <v>208</v>
      </c>
      <c r="I26" s="18" t="s">
        <v>621</v>
      </c>
      <c r="P26" s="238" t="s">
        <v>622</v>
      </c>
      <c r="R26" s="238" t="s">
        <v>623</v>
      </c>
      <c r="T26" t="s">
        <v>464</v>
      </c>
      <c r="U26" t="s">
        <v>624</v>
      </c>
      <c r="AB26" t="s">
        <v>625</v>
      </c>
    </row>
    <row r="27" spans="5:28">
      <c r="H27" s="242" t="s">
        <v>209</v>
      </c>
      <c r="I27" s="48" t="s">
        <v>516</v>
      </c>
      <c r="P27" s="238" t="s">
        <v>626</v>
      </c>
      <c r="R27" s="241" t="s">
        <v>627</v>
      </c>
      <c r="T27" t="s">
        <v>471</v>
      </c>
      <c r="U27" t="s">
        <v>628</v>
      </c>
      <c r="AB27" t="s">
        <v>629</v>
      </c>
    </row>
    <row r="28" spans="5:28">
      <c r="H28" s="242" t="s">
        <v>210</v>
      </c>
      <c r="I28" s="18" t="s">
        <v>630</v>
      </c>
      <c r="P28" s="238" t="s">
        <v>631</v>
      </c>
      <c r="Q28" s="212" t="s">
        <v>632</v>
      </c>
      <c r="R28" s="212" t="s">
        <v>633</v>
      </c>
      <c r="T28" t="s">
        <v>448</v>
      </c>
      <c r="U28" t="s">
        <v>634</v>
      </c>
      <c r="AB28" t="s">
        <v>635</v>
      </c>
    </row>
    <row r="29" spans="5:28">
      <c r="H29" s="242" t="s">
        <v>211</v>
      </c>
      <c r="I29" s="18" t="s">
        <v>636</v>
      </c>
      <c r="P29" s="240" t="s">
        <v>637</v>
      </c>
      <c r="Q29" s="212" t="s">
        <v>638</v>
      </c>
      <c r="R29" s="236" t="s">
        <v>639</v>
      </c>
      <c r="T29" t="s">
        <v>640</v>
      </c>
      <c r="U29" t="s">
        <v>641</v>
      </c>
    </row>
    <row r="30" spans="5:28">
      <c r="H30" s="242" t="s">
        <v>212</v>
      </c>
      <c r="I30" s="18" t="s">
        <v>642</v>
      </c>
      <c r="P30" s="239"/>
      <c r="R30" s="238" t="s">
        <v>643</v>
      </c>
      <c r="T30" t="s">
        <v>644</v>
      </c>
      <c r="U30" t="s">
        <v>645</v>
      </c>
      <c r="AB30" t="s">
        <v>646</v>
      </c>
    </row>
    <row r="31" spans="5:28">
      <c r="H31" s="242" t="s">
        <v>214</v>
      </c>
      <c r="I31" s="18" t="s">
        <v>647</v>
      </c>
      <c r="O31" s="212" t="s">
        <v>556</v>
      </c>
      <c r="P31" s="236" t="s">
        <v>648</v>
      </c>
      <c r="R31" s="241" t="s">
        <v>649</v>
      </c>
      <c r="T31" t="s">
        <v>650</v>
      </c>
      <c r="U31" t="s">
        <v>651</v>
      </c>
      <c r="AB31" t="s">
        <v>652</v>
      </c>
    </row>
    <row r="32" spans="5:28">
      <c r="H32" s="242" t="s">
        <v>216</v>
      </c>
      <c r="I32" s="48" t="s">
        <v>653</v>
      </c>
      <c r="P32" s="238" t="s">
        <v>654</v>
      </c>
      <c r="Q32" s="212" t="s">
        <v>655</v>
      </c>
      <c r="R32" s="236" t="s">
        <v>656</v>
      </c>
      <c r="T32" t="s">
        <v>657</v>
      </c>
      <c r="U32" t="s">
        <v>658</v>
      </c>
      <c r="AB32" t="s">
        <v>659</v>
      </c>
    </row>
    <row r="33" spans="8:28">
      <c r="H33" s="242" t="s">
        <v>238</v>
      </c>
      <c r="I33" s="18" t="s">
        <v>660</v>
      </c>
      <c r="P33" s="238" t="s">
        <v>661</v>
      </c>
      <c r="R33" s="238" t="s">
        <v>662</v>
      </c>
      <c r="T33" t="s">
        <v>663</v>
      </c>
      <c r="U33" t="s">
        <v>664</v>
      </c>
      <c r="AB33" t="s">
        <v>665</v>
      </c>
    </row>
    <row r="34" spans="8:28">
      <c r="H34" s="242" t="s">
        <v>237</v>
      </c>
      <c r="I34" s="18" t="s">
        <v>666</v>
      </c>
      <c r="P34" s="238" t="s">
        <v>667</v>
      </c>
      <c r="R34" s="238" t="s">
        <v>668</v>
      </c>
      <c r="T34" t="s">
        <v>669</v>
      </c>
      <c r="U34" t="s">
        <v>670</v>
      </c>
      <c r="AB34" t="s">
        <v>671</v>
      </c>
    </row>
    <row r="35" spans="8:28">
      <c r="H35" s="242" t="s">
        <v>239</v>
      </c>
      <c r="I35" s="18" t="s">
        <v>672</v>
      </c>
      <c r="P35" s="238" t="s">
        <v>673</v>
      </c>
      <c r="R35" s="238" t="s">
        <v>674</v>
      </c>
      <c r="T35" t="s">
        <v>675</v>
      </c>
      <c r="U35" t="s">
        <v>676</v>
      </c>
      <c r="AB35" t="s">
        <v>677</v>
      </c>
    </row>
    <row r="36" spans="8:28">
      <c r="H36" s="242" t="s">
        <v>241</v>
      </c>
      <c r="I36" s="18" t="s">
        <v>678</v>
      </c>
      <c r="P36" s="238" t="s">
        <v>661</v>
      </c>
      <c r="R36" s="238" t="s">
        <v>679</v>
      </c>
      <c r="T36" t="s">
        <v>680</v>
      </c>
      <c r="U36" t="s">
        <v>681</v>
      </c>
      <c r="AB36" t="s">
        <v>682</v>
      </c>
    </row>
    <row r="37" spans="8:28">
      <c r="H37" s="242" t="s">
        <v>240</v>
      </c>
      <c r="I37" s="18" t="s">
        <v>683</v>
      </c>
      <c r="P37" s="241" t="s">
        <v>684</v>
      </c>
      <c r="R37" s="238" t="s">
        <v>685</v>
      </c>
      <c r="T37" t="s">
        <v>686</v>
      </c>
      <c r="U37" t="s">
        <v>687</v>
      </c>
    </row>
    <row r="38" spans="8:28">
      <c r="H38" s="242" t="s">
        <v>242</v>
      </c>
      <c r="I38" s="18" t="s">
        <v>688</v>
      </c>
      <c r="R38" s="238" t="s">
        <v>689</v>
      </c>
      <c r="T38" t="s">
        <v>690</v>
      </c>
      <c r="U38" t="s">
        <v>691</v>
      </c>
      <c r="AB38" t="s">
        <v>692</v>
      </c>
    </row>
    <row r="39" spans="8:28">
      <c r="H39" s="242" t="s">
        <v>243</v>
      </c>
      <c r="I39" s="48" t="s">
        <v>693</v>
      </c>
      <c r="O39" s="212" t="s">
        <v>564</v>
      </c>
      <c r="P39" s="236" t="s">
        <v>694</v>
      </c>
      <c r="R39" s="238" t="s">
        <v>695</v>
      </c>
      <c r="AB39" t="s">
        <v>696</v>
      </c>
    </row>
    <row r="40" spans="8:28">
      <c r="H40" s="242" t="s">
        <v>244</v>
      </c>
      <c r="I40" s="48" t="s">
        <v>697</v>
      </c>
      <c r="P40" s="238" t="s">
        <v>698</v>
      </c>
      <c r="R40" s="238" t="s">
        <v>699</v>
      </c>
      <c r="AB40" t="s">
        <v>700</v>
      </c>
    </row>
    <row r="41" spans="8:28">
      <c r="H41" s="242" t="s">
        <v>246</v>
      </c>
      <c r="I41" s="48" t="s">
        <v>701</v>
      </c>
      <c r="P41" s="238" t="s">
        <v>702</v>
      </c>
      <c r="R41" s="238" t="s">
        <v>703</v>
      </c>
      <c r="AB41" t="s">
        <v>704</v>
      </c>
    </row>
    <row r="42" spans="8:28">
      <c r="H42" s="242" t="s">
        <v>248</v>
      </c>
      <c r="I42" s="18" t="s">
        <v>705</v>
      </c>
      <c r="P42" s="241" t="s">
        <v>702</v>
      </c>
      <c r="R42" s="238" t="s">
        <v>706</v>
      </c>
      <c r="AB42" t="s">
        <v>707</v>
      </c>
    </row>
    <row r="43" spans="8:28">
      <c r="H43" s="242" t="s">
        <v>249</v>
      </c>
      <c r="I43" s="48" t="s">
        <v>434</v>
      </c>
      <c r="R43" s="238" t="s">
        <v>708</v>
      </c>
      <c r="AB43" t="s">
        <v>709</v>
      </c>
    </row>
    <row r="44" spans="8:28">
      <c r="H44" s="242" t="s">
        <v>250</v>
      </c>
      <c r="I44" s="18" t="s">
        <v>710</v>
      </c>
      <c r="O44" s="212" t="s">
        <v>343</v>
      </c>
      <c r="P44" s="236" t="s">
        <v>711</v>
      </c>
      <c r="R44" s="238" t="s">
        <v>712</v>
      </c>
      <c r="AB44" t="s">
        <v>713</v>
      </c>
    </row>
    <row r="45" spans="8:28">
      <c r="H45" s="242" t="s">
        <v>251</v>
      </c>
      <c r="I45" s="18" t="s">
        <v>714</v>
      </c>
      <c r="P45" s="241" t="s">
        <v>715</v>
      </c>
      <c r="R45" s="241" t="s">
        <v>716</v>
      </c>
      <c r="AB45" t="s">
        <v>717</v>
      </c>
    </row>
    <row r="46" spans="8:28">
      <c r="H46" s="242" t="s">
        <v>252</v>
      </c>
      <c r="I46" s="18" t="s">
        <v>718</v>
      </c>
      <c r="Q46" s="212" t="s">
        <v>719</v>
      </c>
      <c r="R46" s="212" t="s">
        <v>720</v>
      </c>
      <c r="AB46" t="s">
        <v>721</v>
      </c>
    </row>
    <row r="47" spans="8:28">
      <c r="H47" s="242" t="s">
        <v>254</v>
      </c>
      <c r="I47" s="18" t="s">
        <v>722</v>
      </c>
      <c r="O47" s="212" t="s">
        <v>576</v>
      </c>
      <c r="P47" s="236" t="s">
        <v>723</v>
      </c>
      <c r="AB47" t="s">
        <v>724</v>
      </c>
    </row>
    <row r="48" spans="8:28">
      <c r="H48" s="242" t="s">
        <v>255</v>
      </c>
      <c r="I48" s="18" t="s">
        <v>725</v>
      </c>
      <c r="P48" s="241" t="s">
        <v>726</v>
      </c>
      <c r="Q48" s="235" t="s">
        <v>727</v>
      </c>
      <c r="R48" s="236" t="s">
        <v>728</v>
      </c>
      <c r="AB48" t="s">
        <v>729</v>
      </c>
    </row>
    <row r="49" spans="8:28">
      <c r="H49" s="242" t="s">
        <v>256</v>
      </c>
      <c r="I49" s="18" t="s">
        <v>730</v>
      </c>
      <c r="R49" s="238" t="s">
        <v>731</v>
      </c>
      <c r="AB49" t="s">
        <v>732</v>
      </c>
    </row>
    <row r="50" spans="8:28">
      <c r="H50" s="242" t="s">
        <v>257</v>
      </c>
      <c r="I50" s="18" t="s">
        <v>733</v>
      </c>
      <c r="O50" s="212" t="s">
        <v>581</v>
      </c>
      <c r="P50" s="212" t="s">
        <v>734</v>
      </c>
      <c r="R50" s="241" t="s">
        <v>735</v>
      </c>
    </row>
    <row r="51" spans="8:28">
      <c r="H51" s="242" t="s">
        <v>258</v>
      </c>
      <c r="I51" s="18" t="s">
        <v>736</v>
      </c>
      <c r="AB51" t="s">
        <v>737</v>
      </c>
    </row>
    <row r="52" spans="8:28">
      <c r="H52" s="242" t="s">
        <v>259</v>
      </c>
      <c r="I52" s="18" t="s">
        <v>738</v>
      </c>
      <c r="O52" s="212" t="s">
        <v>588</v>
      </c>
      <c r="P52" s="212" t="s">
        <v>739</v>
      </c>
      <c r="Q52" s="212" t="s">
        <v>740</v>
      </c>
      <c r="R52" s="212" t="s">
        <v>490</v>
      </c>
      <c r="AB52" t="s">
        <v>741</v>
      </c>
    </row>
    <row r="53" spans="8:28">
      <c r="H53" s="242" t="s">
        <v>260</v>
      </c>
      <c r="I53" s="48" t="s">
        <v>742</v>
      </c>
      <c r="Q53" s="212" t="s">
        <v>743</v>
      </c>
      <c r="R53" s="212" t="s">
        <v>744</v>
      </c>
      <c r="AB53" t="s">
        <v>745</v>
      </c>
    </row>
    <row r="54" spans="8:28">
      <c r="H54" s="242" t="s">
        <v>261</v>
      </c>
      <c r="I54" s="18" t="s">
        <v>746</v>
      </c>
      <c r="Q54" s="212" t="s">
        <v>747</v>
      </c>
      <c r="R54" s="212" t="s">
        <v>748</v>
      </c>
      <c r="AB54" t="s">
        <v>749</v>
      </c>
    </row>
    <row r="55" spans="8:28">
      <c r="H55" s="242" t="s">
        <v>262</v>
      </c>
      <c r="I55" s="18" t="s">
        <v>750</v>
      </c>
      <c r="AB55" t="s">
        <v>751</v>
      </c>
    </row>
    <row r="56" spans="8:28">
      <c r="H56" s="242" t="s">
        <v>263</v>
      </c>
      <c r="I56" s="18" t="s">
        <v>752</v>
      </c>
      <c r="AB56" t="s">
        <v>753</v>
      </c>
    </row>
    <row r="57" spans="8:28">
      <c r="H57" s="242" t="s">
        <v>264</v>
      </c>
      <c r="I57" s="48" t="s">
        <v>479</v>
      </c>
      <c r="Q57" s="212" t="s">
        <v>754</v>
      </c>
      <c r="R57" s="236" t="s">
        <v>755</v>
      </c>
      <c r="AB57" t="s">
        <v>756</v>
      </c>
    </row>
    <row r="58" spans="8:28">
      <c r="H58" s="242" t="s">
        <v>265</v>
      </c>
      <c r="I58" s="48" t="s">
        <v>500</v>
      </c>
      <c r="R58" s="238" t="s">
        <v>757</v>
      </c>
    </row>
    <row r="59" spans="8:28">
      <c r="H59" s="242" t="s">
        <v>266</v>
      </c>
      <c r="I59" s="18" t="s">
        <v>758</v>
      </c>
      <c r="R59" s="238" t="s">
        <v>759</v>
      </c>
      <c r="AB59" t="s">
        <v>760</v>
      </c>
    </row>
    <row r="60" spans="8:28">
      <c r="H60" s="242" t="s">
        <v>267</v>
      </c>
      <c r="I60" s="18" t="s">
        <v>761</v>
      </c>
      <c r="R60" s="238" t="s">
        <v>762</v>
      </c>
      <c r="AB60" t="s">
        <v>763</v>
      </c>
    </row>
    <row r="61" spans="8:28">
      <c r="H61" s="242" t="s">
        <v>268</v>
      </c>
      <c r="R61" s="238" t="s">
        <v>764</v>
      </c>
      <c r="AB61" t="s">
        <v>765</v>
      </c>
    </row>
    <row r="62" spans="8:28">
      <c r="H62" s="242" t="s">
        <v>269</v>
      </c>
      <c r="R62" s="238" t="s">
        <v>766</v>
      </c>
      <c r="AB62" t="s">
        <v>767</v>
      </c>
    </row>
    <row r="63" spans="8:28">
      <c r="H63" s="242" t="s">
        <v>270</v>
      </c>
      <c r="R63" s="238" t="s">
        <v>768</v>
      </c>
      <c r="AB63" t="s">
        <v>769</v>
      </c>
    </row>
    <row r="64" spans="8:28">
      <c r="H64" s="242" t="s">
        <v>271</v>
      </c>
      <c r="R64" s="238" t="s">
        <v>770</v>
      </c>
      <c r="AB64" t="s">
        <v>771</v>
      </c>
    </row>
    <row r="65" spans="8:28">
      <c r="H65" s="242" t="s">
        <v>272</v>
      </c>
      <c r="R65" s="238" t="s">
        <v>772</v>
      </c>
      <c r="AB65" t="s">
        <v>773</v>
      </c>
    </row>
    <row r="66" spans="8:28">
      <c r="H66" s="242" t="s">
        <v>273</v>
      </c>
      <c r="R66" s="238" t="s">
        <v>774</v>
      </c>
      <c r="AB66" t="s">
        <v>775</v>
      </c>
    </row>
    <row r="67" spans="8:28">
      <c r="H67" s="242" t="s">
        <v>274</v>
      </c>
      <c r="R67" s="238" t="s">
        <v>776</v>
      </c>
      <c r="AB67" t="s">
        <v>777</v>
      </c>
    </row>
    <row r="68" spans="8:28">
      <c r="H68" s="242" t="s">
        <v>275</v>
      </c>
      <c r="R68" s="238" t="s">
        <v>778</v>
      </c>
      <c r="AB68" t="s">
        <v>779</v>
      </c>
    </row>
    <row r="69" spans="8:28">
      <c r="H69" s="242" t="s">
        <v>276</v>
      </c>
      <c r="Q69" s="235" t="s">
        <v>780</v>
      </c>
      <c r="R69" s="236" t="s">
        <v>781</v>
      </c>
      <c r="AB69" t="s">
        <v>782</v>
      </c>
    </row>
    <row r="70" spans="8:28">
      <c r="H70" s="242" t="s">
        <v>277</v>
      </c>
      <c r="R70" s="238" t="s">
        <v>783</v>
      </c>
      <c r="AB70" t="s">
        <v>784</v>
      </c>
    </row>
    <row r="71" spans="8:28">
      <c r="H71" s="242" t="s">
        <v>278</v>
      </c>
      <c r="R71" s="238" t="s">
        <v>785</v>
      </c>
      <c r="AB71" t="s">
        <v>786</v>
      </c>
    </row>
    <row r="72" spans="8:28">
      <c r="H72" s="242" t="s">
        <v>279</v>
      </c>
      <c r="R72" s="241" t="s">
        <v>787</v>
      </c>
      <c r="AB72" t="s">
        <v>788</v>
      </c>
    </row>
    <row r="73" spans="8:28">
      <c r="H73" s="242" t="s">
        <v>280</v>
      </c>
      <c r="Q73" s="212" t="s">
        <v>789</v>
      </c>
      <c r="R73" s="212" t="s">
        <v>790</v>
      </c>
      <c r="AB73" t="s">
        <v>791</v>
      </c>
    </row>
    <row r="74" spans="8:28">
      <c r="H74" s="242" t="s">
        <v>281</v>
      </c>
      <c r="Q74" s="237" t="s">
        <v>792</v>
      </c>
      <c r="R74" s="236" t="s">
        <v>793</v>
      </c>
      <c r="AB74" t="s">
        <v>794</v>
      </c>
    </row>
    <row r="75" spans="8:28">
      <c r="H75" s="242" t="s">
        <v>282</v>
      </c>
      <c r="R75" s="238" t="s">
        <v>795</v>
      </c>
      <c r="AB75" t="s">
        <v>796</v>
      </c>
    </row>
    <row r="76" spans="8:28">
      <c r="H76" s="242" t="s">
        <v>283</v>
      </c>
      <c r="R76" s="238" t="s">
        <v>797</v>
      </c>
      <c r="AB76" t="s">
        <v>798</v>
      </c>
    </row>
    <row r="77" spans="8:28">
      <c r="H77" s="242" t="s">
        <v>284</v>
      </c>
      <c r="R77" s="238" t="s">
        <v>799</v>
      </c>
      <c r="AB77" t="s">
        <v>800</v>
      </c>
    </row>
    <row r="78" spans="8:28">
      <c r="H78" s="242" t="s">
        <v>285</v>
      </c>
      <c r="R78" s="238" t="s">
        <v>801</v>
      </c>
      <c r="AB78" t="s">
        <v>802</v>
      </c>
    </row>
    <row r="79" spans="8:28">
      <c r="H79" s="242" t="s">
        <v>286</v>
      </c>
      <c r="R79" s="238" t="s">
        <v>803</v>
      </c>
      <c r="AB79" t="s">
        <v>804</v>
      </c>
    </row>
    <row r="80" spans="8:28">
      <c r="H80" s="242" t="s">
        <v>287</v>
      </c>
      <c r="R80" s="238" t="s">
        <v>805</v>
      </c>
      <c r="AB80" t="s">
        <v>806</v>
      </c>
    </row>
    <row r="81" spans="8:28">
      <c r="H81" s="242" t="s">
        <v>288</v>
      </c>
      <c r="R81" s="238" t="s">
        <v>807</v>
      </c>
      <c r="AB81" t="s">
        <v>808</v>
      </c>
    </row>
    <row r="82" spans="8:28">
      <c r="H82" s="242" t="s">
        <v>289</v>
      </c>
      <c r="R82" s="238" t="s">
        <v>809</v>
      </c>
      <c r="AB82" t="s">
        <v>810</v>
      </c>
    </row>
    <row r="83" spans="8:28">
      <c r="H83" s="242" t="s">
        <v>290</v>
      </c>
      <c r="R83" s="238" t="s">
        <v>811</v>
      </c>
      <c r="AB83" t="s">
        <v>812</v>
      </c>
    </row>
    <row r="84" spans="8:28">
      <c r="H84" s="242" t="s">
        <v>291</v>
      </c>
      <c r="R84" s="238" t="s">
        <v>813</v>
      </c>
      <c r="AB84" t="s">
        <v>814</v>
      </c>
    </row>
    <row r="85" spans="8:28">
      <c r="H85" s="242" t="s">
        <v>292</v>
      </c>
      <c r="R85" s="241" t="s">
        <v>815</v>
      </c>
      <c r="AB85" t="s">
        <v>816</v>
      </c>
    </row>
    <row r="86" spans="8:28">
      <c r="H86" s="242" t="s">
        <v>293</v>
      </c>
      <c r="AB86" t="s">
        <v>817</v>
      </c>
    </row>
    <row r="87" spans="8:28">
      <c r="H87" s="242" t="s">
        <v>294</v>
      </c>
      <c r="AB87" t="s">
        <v>818</v>
      </c>
    </row>
    <row r="88" spans="8:28">
      <c r="H88" s="242" t="s">
        <v>295</v>
      </c>
      <c r="AB88" t="s">
        <v>819</v>
      </c>
    </row>
    <row r="89" spans="8:28">
      <c r="H89" s="242" t="s">
        <v>296</v>
      </c>
      <c r="Q89" s="212" t="s">
        <v>820</v>
      </c>
      <c r="R89" s="236" t="s">
        <v>821</v>
      </c>
      <c r="AB89" t="s">
        <v>822</v>
      </c>
    </row>
    <row r="90" spans="8:28">
      <c r="H90" s="242" t="s">
        <v>297</v>
      </c>
      <c r="R90" s="238" t="s">
        <v>823</v>
      </c>
    </row>
    <row r="91" spans="8:28">
      <c r="H91" s="242" t="s">
        <v>298</v>
      </c>
      <c r="R91" s="238" t="s">
        <v>824</v>
      </c>
    </row>
    <row r="92" spans="8:28">
      <c r="H92" s="242" t="s">
        <v>298</v>
      </c>
      <c r="R92" s="238" t="s">
        <v>825</v>
      </c>
    </row>
    <row r="93" spans="8:28">
      <c r="H93" s="242" t="s">
        <v>298</v>
      </c>
      <c r="R93" s="238" t="s">
        <v>826</v>
      </c>
    </row>
    <row r="94" spans="8:28">
      <c r="H94" s="242" t="s">
        <v>299</v>
      </c>
      <c r="R94" s="238" t="s">
        <v>827</v>
      </c>
    </row>
    <row r="95" spans="8:28">
      <c r="H95" s="242" t="s">
        <v>300</v>
      </c>
      <c r="R95" s="238" t="s">
        <v>828</v>
      </c>
    </row>
    <row r="96" spans="8:28">
      <c r="H96" s="242" t="s">
        <v>301</v>
      </c>
      <c r="R96" s="238" t="s">
        <v>829</v>
      </c>
    </row>
    <row r="97" spans="8:18">
      <c r="H97" s="242" t="s">
        <v>302</v>
      </c>
      <c r="R97" s="238" t="s">
        <v>830</v>
      </c>
    </row>
    <row r="98" spans="8:18">
      <c r="H98" s="242" t="s">
        <v>303</v>
      </c>
      <c r="R98" s="238" t="s">
        <v>831</v>
      </c>
    </row>
    <row r="99" spans="8:18">
      <c r="H99" s="242" t="s">
        <v>304</v>
      </c>
      <c r="R99" s="238" t="s">
        <v>832</v>
      </c>
    </row>
    <row r="100" spans="8:18">
      <c r="H100" s="242" t="s">
        <v>305</v>
      </c>
      <c r="R100" s="238" t="s">
        <v>833</v>
      </c>
    </row>
    <row r="101" spans="8:18">
      <c r="H101" s="242" t="s">
        <v>306</v>
      </c>
      <c r="R101" s="238" t="s">
        <v>834</v>
      </c>
    </row>
    <row r="102" spans="8:18">
      <c r="H102" s="242" t="s">
        <v>307</v>
      </c>
      <c r="R102" s="241" t="s">
        <v>835</v>
      </c>
    </row>
    <row r="103" spans="8:18">
      <c r="H103" s="242" t="s">
        <v>308</v>
      </c>
    </row>
    <row r="104" spans="8:18">
      <c r="H104" s="243" t="s">
        <v>184</v>
      </c>
    </row>
    <row r="105" spans="8:18">
      <c r="H105" s="243" t="s">
        <v>188</v>
      </c>
      <c r="Q105" s="235" t="s">
        <v>836</v>
      </c>
      <c r="R105" s="236" t="s">
        <v>837</v>
      </c>
    </row>
    <row r="106" spans="8:18">
      <c r="H106" s="243" t="s">
        <v>189</v>
      </c>
      <c r="R106" s="238" t="s">
        <v>838</v>
      </c>
    </row>
    <row r="107" spans="8:18">
      <c r="H107" s="243" t="s">
        <v>185</v>
      </c>
      <c r="R107" s="238" t="s">
        <v>839</v>
      </c>
    </row>
    <row r="108" spans="8:18">
      <c r="H108" s="243" t="s">
        <v>186</v>
      </c>
      <c r="R108" s="241" t="s">
        <v>840</v>
      </c>
    </row>
    <row r="109" spans="8:18">
      <c r="H109" s="243" t="s">
        <v>187</v>
      </c>
    </row>
    <row r="110" spans="8:18">
      <c r="H110" s="243" t="s">
        <v>841</v>
      </c>
    </row>
    <row r="111" spans="8:18">
      <c r="H111" s="243" t="s">
        <v>842</v>
      </c>
    </row>
    <row r="112" spans="8:18">
      <c r="H112" s="243" t="s">
        <v>843</v>
      </c>
    </row>
    <row r="113" spans="8:8">
      <c r="H113" s="243" t="s">
        <v>844</v>
      </c>
    </row>
    <row r="114" spans="8:8">
      <c r="H114" s="243" t="s">
        <v>845</v>
      </c>
    </row>
    <row r="115" spans="8:8">
      <c r="H115" s="243" t="s">
        <v>846</v>
      </c>
    </row>
    <row r="116" spans="8:8">
      <c r="H116" s="243" t="s">
        <v>99</v>
      </c>
    </row>
    <row r="117" spans="8:8">
      <c r="H117" s="243" t="s">
        <v>245</v>
      </c>
    </row>
    <row r="118" spans="8:8">
      <c r="H118" s="243" t="s">
        <v>191</v>
      </c>
    </row>
    <row r="119" spans="8:8">
      <c r="H119" s="243" t="s">
        <v>192</v>
      </c>
    </row>
    <row r="120" spans="8:8">
      <c r="H120" s="243" t="s">
        <v>193</v>
      </c>
    </row>
    <row r="121" spans="8:8">
      <c r="H121" s="243" t="s">
        <v>194</v>
      </c>
    </row>
    <row r="122" spans="8:8">
      <c r="H122" s="243" t="s">
        <v>195</v>
      </c>
    </row>
    <row r="123" spans="8:8">
      <c r="H123" s="243" t="s">
        <v>196</v>
      </c>
    </row>
    <row r="124" spans="8:8">
      <c r="H124" s="242" t="s">
        <v>847</v>
      </c>
    </row>
    <row r="125" spans="8:8">
      <c r="H125" s="242" t="s">
        <v>848</v>
      </c>
    </row>
    <row r="126" spans="8:8">
      <c r="H126" s="242" t="s">
        <v>849</v>
      </c>
    </row>
    <row r="127" spans="8:8">
      <c r="H127" s="242" t="s">
        <v>850</v>
      </c>
    </row>
    <row r="128" spans="8:8">
      <c r="H128" s="242" t="s">
        <v>851</v>
      </c>
    </row>
    <row r="129" spans="8:8">
      <c r="H129" s="244" t="s">
        <v>852</v>
      </c>
    </row>
  </sheetData>
  <phoneticPr fontId="35"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3:AM162"/>
  <sheetViews>
    <sheetView topLeftCell="A131" zoomScaleNormal="100" workbookViewId="0">
      <selection activeCell="L152" sqref="L152"/>
    </sheetView>
  </sheetViews>
  <sheetFormatPr defaultRowHeight="14.5"/>
  <cols>
    <col min="2" max="2" width="26.54296875" customWidth="1"/>
    <col min="3" max="3" width="16.54296875" customWidth="1"/>
    <col min="5" max="5" width="11.54296875" customWidth="1"/>
    <col min="14" max="16" width="8.54296875" customWidth="1"/>
  </cols>
  <sheetData>
    <row r="3" spans="1:39">
      <c r="B3" t="s">
        <v>853</v>
      </c>
      <c r="C3" t="s">
        <v>854</v>
      </c>
      <c r="D3" t="s">
        <v>173</v>
      </c>
      <c r="E3" t="s">
        <v>855</v>
      </c>
      <c r="G3" t="e">
        <f>Organisatsioon!#REF!</f>
        <v>#REF!</v>
      </c>
      <c r="N3" t="s">
        <v>856</v>
      </c>
    </row>
    <row r="4" spans="1:39">
      <c r="B4" t="s">
        <v>857</v>
      </c>
      <c r="C4" t="s">
        <v>309</v>
      </c>
      <c r="D4">
        <v>1</v>
      </c>
      <c r="E4">
        <v>1</v>
      </c>
      <c r="G4" t="e">
        <f>IF(Organisatsioon!#REF!="5th Assessment", E4, IF(Organisatsioon!#REF!="4th Assessment", D4, 0))</f>
        <v>#REF!</v>
      </c>
    </row>
    <row r="5" spans="1:39">
      <c r="B5" t="s">
        <v>858</v>
      </c>
      <c r="C5" t="s">
        <v>236</v>
      </c>
      <c r="D5">
        <v>25</v>
      </c>
      <c r="E5">
        <v>28</v>
      </c>
      <c r="G5" t="e">
        <f>IF(Organisatsioon!#REF!="5th Assessment", E5, IF(Organisatsioon!#REF!="4th Assessment", D5, 0))</f>
        <v>#REF!</v>
      </c>
    </row>
    <row r="6" spans="1:39">
      <c r="B6" t="s">
        <v>859</v>
      </c>
      <c r="C6" t="s">
        <v>190</v>
      </c>
      <c r="D6">
        <v>298</v>
      </c>
      <c r="E6">
        <v>265</v>
      </c>
      <c r="G6" t="e">
        <f>IF(Organisatsioon!#REF!="5th Assessment", E6, IF(Organisatsioon!#REF!="4th Assessment", D6, 0))</f>
        <v>#REF!</v>
      </c>
    </row>
    <row r="7" spans="1:39">
      <c r="B7" t="s">
        <v>850</v>
      </c>
      <c r="C7" t="s">
        <v>235</v>
      </c>
      <c r="D7">
        <v>17200</v>
      </c>
      <c r="E7">
        <v>16100</v>
      </c>
    </row>
    <row r="8" spans="1:39">
      <c r="B8" t="s">
        <v>851</v>
      </c>
      <c r="C8" t="s">
        <v>313</v>
      </c>
      <c r="D8">
        <v>22800</v>
      </c>
      <c r="E8">
        <v>23500</v>
      </c>
    </row>
    <row r="10" spans="1:39">
      <c r="A10" s="209" t="s">
        <v>860</v>
      </c>
      <c r="B10" s="209" t="s">
        <v>861</v>
      </c>
      <c r="C10" s="209" t="s">
        <v>433</v>
      </c>
      <c r="D10" s="209" t="s">
        <v>457</v>
      </c>
      <c r="E10" s="209" t="s">
        <v>482</v>
      </c>
      <c r="F10" s="209" t="s">
        <v>491</v>
      </c>
      <c r="G10" s="209" t="s">
        <v>501</v>
      </c>
      <c r="H10" s="209" t="s">
        <v>499</v>
      </c>
      <c r="I10" s="209" t="s">
        <v>519</v>
      </c>
      <c r="J10" s="209" t="s">
        <v>507</v>
      </c>
      <c r="K10" s="209" t="s">
        <v>534</v>
      </c>
      <c r="L10" s="209" t="s">
        <v>135</v>
      </c>
      <c r="M10" s="209" t="s">
        <v>84</v>
      </c>
      <c r="N10" s="209" t="s">
        <v>551</v>
      </c>
      <c r="O10" s="209" t="s">
        <v>559</v>
      </c>
      <c r="P10" s="209" t="s">
        <v>566</v>
      </c>
      <c r="Q10" s="209" t="s">
        <v>442</v>
      </c>
      <c r="R10" s="209" t="s">
        <v>577</v>
      </c>
      <c r="S10" s="209" t="s">
        <v>584</v>
      </c>
      <c r="T10" s="209" t="s">
        <v>590</v>
      </c>
      <c r="U10" s="209" t="s">
        <v>485</v>
      </c>
      <c r="V10" s="209" t="s">
        <v>399</v>
      </c>
      <c r="W10" s="209" t="s">
        <v>496</v>
      </c>
      <c r="X10" s="209" t="s">
        <v>609</v>
      </c>
      <c r="Y10" s="209" t="s">
        <v>484</v>
      </c>
      <c r="Z10" s="209" t="s">
        <v>619</v>
      </c>
      <c r="AA10" s="209" t="s">
        <v>624</v>
      </c>
      <c r="AB10" s="209" t="s">
        <v>471</v>
      </c>
      <c r="AC10" s="209" t="s">
        <v>448</v>
      </c>
      <c r="AD10" s="209" t="s">
        <v>640</v>
      </c>
      <c r="AE10" s="209" t="s">
        <v>644</v>
      </c>
      <c r="AF10" s="209" t="s">
        <v>650</v>
      </c>
      <c r="AG10" s="209" t="s">
        <v>657</v>
      </c>
      <c r="AH10" s="209" t="s">
        <v>663</v>
      </c>
      <c r="AI10" s="209" t="s">
        <v>669</v>
      </c>
      <c r="AJ10" s="209" t="s">
        <v>675</v>
      </c>
      <c r="AK10" t="s">
        <v>680</v>
      </c>
      <c r="AL10" t="s">
        <v>686</v>
      </c>
      <c r="AM10" t="s">
        <v>690</v>
      </c>
    </row>
    <row r="11" spans="1:39">
      <c r="A11" s="210" t="s">
        <v>433</v>
      </c>
      <c r="B11" s="210" t="s">
        <v>439</v>
      </c>
      <c r="C11" s="210">
        <v>1</v>
      </c>
      <c r="D11" s="210">
        <v>3.78541178</v>
      </c>
      <c r="E11" s="210">
        <v>2.3809523799999999E-2</v>
      </c>
      <c r="F11" s="210">
        <v>0.13368055600000001</v>
      </c>
      <c r="G11" s="210">
        <v>0.13368055600000001</v>
      </c>
      <c r="H11" s="210"/>
      <c r="I11" s="210">
        <v>4.9509999999999997E-3</v>
      </c>
      <c r="J11" s="210">
        <v>3.7854117800000002E-3</v>
      </c>
      <c r="K11" s="210">
        <v>3785.4117799999999</v>
      </c>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row>
    <row r="12" spans="1:39">
      <c r="A12" s="210" t="s">
        <v>457</v>
      </c>
      <c r="B12" s="210" t="s">
        <v>463</v>
      </c>
      <c r="C12" s="210">
        <v>0.26417205199999999</v>
      </c>
      <c r="D12" s="210">
        <v>1</v>
      </c>
      <c r="E12" s="210">
        <v>6.2898107700000002E-3</v>
      </c>
      <c r="F12" s="210">
        <v>3.5314666699999997E-2</v>
      </c>
      <c r="G12" s="210">
        <v>3.5314666699999997E-2</v>
      </c>
      <c r="H12" s="210"/>
      <c r="I12" s="210">
        <v>1.3079999999999999E-3</v>
      </c>
      <c r="J12" s="210">
        <v>1E-3</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row>
    <row r="13" spans="1:39">
      <c r="A13" s="210" t="s">
        <v>482</v>
      </c>
      <c r="B13" s="210" t="s">
        <v>483</v>
      </c>
      <c r="C13" s="210">
        <v>42</v>
      </c>
      <c r="D13" s="210">
        <v>158.98729499999999</v>
      </c>
      <c r="E13" s="210">
        <v>1</v>
      </c>
      <c r="F13" s="210">
        <v>5.6145833300000003</v>
      </c>
      <c r="G13" s="210">
        <v>5.6145833300000003</v>
      </c>
      <c r="H13" s="210"/>
      <c r="I13" s="210"/>
      <c r="J13" s="210">
        <v>0.158987295</v>
      </c>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row>
    <row r="14" spans="1:39">
      <c r="A14" s="210" t="s">
        <v>491</v>
      </c>
      <c r="B14" s="210" t="s">
        <v>493</v>
      </c>
      <c r="C14" s="210">
        <v>7.4805194799999999</v>
      </c>
      <c r="D14" s="210">
        <v>28.316846600000002</v>
      </c>
      <c r="E14" s="210">
        <v>0.178107607</v>
      </c>
      <c r="F14" s="210">
        <v>1</v>
      </c>
      <c r="G14" s="210">
        <v>1</v>
      </c>
      <c r="H14" s="210"/>
      <c r="I14" s="210"/>
      <c r="J14" s="210">
        <v>2.8316846600000001E-2</v>
      </c>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row>
    <row r="15" spans="1:39">
      <c r="A15" s="210" t="s">
        <v>501</v>
      </c>
      <c r="B15" s="210" t="s">
        <v>502</v>
      </c>
      <c r="C15" s="210">
        <v>7.4805194799999999</v>
      </c>
      <c r="D15" s="210">
        <v>28.316846600000002</v>
      </c>
      <c r="E15" s="210">
        <v>0.178107607</v>
      </c>
      <c r="F15" s="210">
        <v>1</v>
      </c>
      <c r="G15" s="210">
        <v>1</v>
      </c>
      <c r="H15" s="210"/>
      <c r="I15" s="210">
        <v>3.7037E-2</v>
      </c>
      <c r="J15" s="210">
        <v>2.8316846600000001E-2</v>
      </c>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row>
    <row r="16" spans="1:39">
      <c r="A16" s="210" t="s">
        <v>499</v>
      </c>
      <c r="B16" s="210" t="s">
        <v>511</v>
      </c>
      <c r="C16" s="210">
        <f>C15*100</f>
        <v>748.05194800000004</v>
      </c>
      <c r="D16" s="210">
        <f t="shared" ref="D16:J16" si="0">D15*100</f>
        <v>2831.6846600000003</v>
      </c>
      <c r="E16" s="210">
        <f t="shared" si="0"/>
        <v>17.810760699999999</v>
      </c>
      <c r="F16" s="210">
        <f t="shared" si="0"/>
        <v>100</v>
      </c>
      <c r="G16" s="210">
        <f t="shared" si="0"/>
        <v>100</v>
      </c>
      <c r="H16" s="210">
        <v>1</v>
      </c>
      <c r="I16" s="210">
        <f t="shared" si="0"/>
        <v>3.7037</v>
      </c>
      <c r="J16" s="210">
        <f t="shared" si="0"/>
        <v>2.8316846600000001</v>
      </c>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row>
    <row r="17" spans="1:36">
      <c r="A17" s="210" t="s">
        <v>519</v>
      </c>
      <c r="B17" s="210" t="s">
        <v>520</v>
      </c>
      <c r="C17" s="210">
        <v>201.97399999999999</v>
      </c>
      <c r="D17" s="210">
        <v>764.55489999999998</v>
      </c>
      <c r="E17" s="210"/>
      <c r="F17" s="210"/>
      <c r="G17" s="210">
        <v>27</v>
      </c>
      <c r="H17" s="210"/>
      <c r="I17" s="210">
        <v>1</v>
      </c>
      <c r="J17" s="210">
        <v>0.76455499999999998</v>
      </c>
      <c r="K17" s="210">
        <v>764554.9</v>
      </c>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row>
    <row r="18" spans="1:36">
      <c r="A18" s="210" t="s">
        <v>507</v>
      </c>
      <c r="B18" s="210" t="s">
        <v>527</v>
      </c>
      <c r="C18" s="210">
        <v>264.17205200000001</v>
      </c>
      <c r="D18" s="210">
        <v>1000</v>
      </c>
      <c r="E18" s="210">
        <v>6.2898107699999999</v>
      </c>
      <c r="F18" s="210">
        <v>35.314666699999997</v>
      </c>
      <c r="G18" s="210">
        <v>35.314666699999997</v>
      </c>
      <c r="H18" s="210"/>
      <c r="I18" s="210">
        <v>1.3079510000000001</v>
      </c>
      <c r="J18" s="210">
        <v>1</v>
      </c>
      <c r="K18" s="210">
        <v>1000000</v>
      </c>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row>
    <row r="19" spans="1:36">
      <c r="A19" s="210" t="s">
        <v>534</v>
      </c>
      <c r="B19" s="210" t="s">
        <v>535</v>
      </c>
      <c r="C19" s="210">
        <v>2.6417200000000002E-4</v>
      </c>
      <c r="D19" s="210"/>
      <c r="E19" s="210"/>
      <c r="F19" s="210"/>
      <c r="G19" s="210"/>
      <c r="H19" s="210"/>
      <c r="I19" s="211">
        <v>1.31E-6</v>
      </c>
      <c r="J19" s="210">
        <v>9.9999999999999995E-7</v>
      </c>
      <c r="K19" s="210">
        <v>1</v>
      </c>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row>
    <row r="20" spans="1:36">
      <c r="A20" s="210" t="s">
        <v>135</v>
      </c>
      <c r="B20" s="210" t="s">
        <v>541</v>
      </c>
      <c r="C20" s="210"/>
      <c r="D20" s="210"/>
      <c r="E20" s="210"/>
      <c r="F20" s="210"/>
      <c r="G20" s="210"/>
      <c r="H20" s="210"/>
      <c r="I20" s="210"/>
      <c r="J20" s="210"/>
      <c r="K20" s="210"/>
      <c r="L20" s="210">
        <v>1</v>
      </c>
      <c r="M20" s="210">
        <v>1000</v>
      </c>
      <c r="N20" s="210">
        <v>2204.6226200000001</v>
      </c>
      <c r="O20" s="210">
        <v>1.1023113099999999</v>
      </c>
      <c r="P20" s="210">
        <v>0.98420652799999997</v>
      </c>
      <c r="Q20" s="210">
        <v>1000000</v>
      </c>
      <c r="R20" s="210"/>
      <c r="S20" s="210"/>
      <c r="T20" s="210"/>
      <c r="U20" s="210"/>
      <c r="V20" s="210"/>
      <c r="W20" s="210"/>
      <c r="X20" s="210"/>
      <c r="Y20" s="210"/>
      <c r="Z20" s="210"/>
      <c r="AA20" s="210"/>
      <c r="AB20" s="210"/>
      <c r="AC20" s="210"/>
      <c r="AD20" s="210"/>
      <c r="AE20" s="210"/>
      <c r="AF20" s="210"/>
      <c r="AG20" s="210"/>
      <c r="AH20" s="210"/>
      <c r="AI20" s="210"/>
      <c r="AJ20" s="210"/>
    </row>
    <row r="21" spans="1:36">
      <c r="A21" s="210" t="s">
        <v>84</v>
      </c>
      <c r="B21" s="210" t="s">
        <v>545</v>
      </c>
      <c r="C21" s="210"/>
      <c r="D21" s="210"/>
      <c r="E21" s="210"/>
      <c r="F21" s="210"/>
      <c r="G21" s="210"/>
      <c r="H21" s="210"/>
      <c r="I21" s="210"/>
      <c r="J21" s="210"/>
      <c r="K21" s="210"/>
      <c r="L21" s="210">
        <v>1E-3</v>
      </c>
      <c r="M21" s="210">
        <v>1</v>
      </c>
      <c r="N21" s="210">
        <v>2.2046226199999999</v>
      </c>
      <c r="O21" s="210">
        <v>1.10231131E-3</v>
      </c>
      <c r="P21" s="210">
        <v>9.842065279999999E-4</v>
      </c>
      <c r="Q21" s="210">
        <v>1000</v>
      </c>
      <c r="R21" s="210"/>
      <c r="S21" s="210"/>
      <c r="T21" s="210"/>
      <c r="U21" s="210"/>
      <c r="V21" s="210"/>
      <c r="W21" s="210"/>
      <c r="X21" s="210"/>
      <c r="Y21" s="210"/>
      <c r="Z21" s="210"/>
      <c r="AA21" s="210"/>
      <c r="AB21" s="210"/>
      <c r="AC21" s="210"/>
      <c r="AD21" s="210"/>
      <c r="AE21" s="210"/>
      <c r="AF21" s="210"/>
      <c r="AG21" s="210"/>
      <c r="AH21" s="210"/>
      <c r="AI21" s="210"/>
      <c r="AJ21" s="210"/>
    </row>
    <row r="22" spans="1:36">
      <c r="A22" s="210" t="s">
        <v>551</v>
      </c>
      <c r="B22" s="210" t="s">
        <v>552</v>
      </c>
      <c r="C22" s="210"/>
      <c r="D22" s="210"/>
      <c r="E22" s="210"/>
      <c r="F22" s="210"/>
      <c r="G22" s="210"/>
      <c r="H22" s="210"/>
      <c r="I22" s="210"/>
      <c r="J22" s="210"/>
      <c r="K22" s="210"/>
      <c r="L22" s="210">
        <v>4.5359236999999999E-4</v>
      </c>
      <c r="M22" s="210">
        <v>0.45359237000000002</v>
      </c>
      <c r="N22" s="210">
        <v>1</v>
      </c>
      <c r="O22" s="210">
        <v>5.0000000000000001E-4</v>
      </c>
      <c r="P22" s="210">
        <v>4.4642857100000001E-4</v>
      </c>
      <c r="Q22" s="210">
        <v>453.59237000000002</v>
      </c>
      <c r="R22" s="210"/>
      <c r="S22" s="210"/>
      <c r="T22" s="210"/>
      <c r="U22" s="210"/>
      <c r="V22" s="210"/>
      <c r="W22" s="210"/>
      <c r="X22" s="210"/>
      <c r="Y22" s="210"/>
      <c r="Z22" s="210"/>
      <c r="AA22" s="210"/>
      <c r="AB22" s="210"/>
      <c r="AC22" s="210"/>
      <c r="AD22" s="210"/>
      <c r="AE22" s="210"/>
      <c r="AF22" s="210"/>
      <c r="AG22" s="210"/>
      <c r="AH22" s="210"/>
      <c r="AI22" s="210"/>
      <c r="AJ22" s="210"/>
    </row>
    <row r="23" spans="1:36">
      <c r="A23" s="210" t="s">
        <v>559</v>
      </c>
      <c r="B23" s="210" t="s">
        <v>560</v>
      </c>
      <c r="C23" s="210"/>
      <c r="D23" s="210"/>
      <c r="E23" s="210"/>
      <c r="F23" s="210"/>
      <c r="G23" s="210"/>
      <c r="H23" s="210"/>
      <c r="I23" s="210"/>
      <c r="J23" s="210"/>
      <c r="K23" s="210"/>
      <c r="L23" s="210">
        <v>0.90718474000000004</v>
      </c>
      <c r="M23" s="210">
        <v>907.18474000000003</v>
      </c>
      <c r="N23" s="210">
        <v>2000</v>
      </c>
      <c r="O23" s="210">
        <v>1</v>
      </c>
      <c r="P23" s="210">
        <v>0.89285714299999996</v>
      </c>
      <c r="Q23" s="210">
        <v>907184.74</v>
      </c>
      <c r="R23" s="210"/>
      <c r="S23" s="210"/>
      <c r="T23" s="210"/>
      <c r="U23" s="210"/>
      <c r="V23" s="210"/>
      <c r="W23" s="210"/>
      <c r="X23" s="210"/>
      <c r="Y23" s="210"/>
      <c r="Z23" s="210"/>
      <c r="AA23" s="210"/>
      <c r="AB23" s="210"/>
      <c r="AC23" s="210"/>
      <c r="AD23" s="210"/>
      <c r="AE23" s="210"/>
      <c r="AF23" s="210"/>
      <c r="AG23" s="210"/>
      <c r="AH23" s="210"/>
      <c r="AI23" s="210"/>
      <c r="AJ23" s="210"/>
    </row>
    <row r="24" spans="1:36">
      <c r="A24" s="210" t="s">
        <v>566</v>
      </c>
      <c r="B24" s="210" t="s">
        <v>567</v>
      </c>
      <c r="C24" s="210"/>
      <c r="D24" s="210"/>
      <c r="E24" s="210"/>
      <c r="F24" s="210"/>
      <c r="G24" s="210"/>
      <c r="H24" s="210"/>
      <c r="I24" s="210"/>
      <c r="J24" s="210"/>
      <c r="K24" s="210"/>
      <c r="L24" s="210">
        <v>1.01604691</v>
      </c>
      <c r="M24" s="210" t="s">
        <v>862</v>
      </c>
      <c r="N24" s="210">
        <v>2240</v>
      </c>
      <c r="O24" s="210">
        <v>1.1200000000000001</v>
      </c>
      <c r="P24" s="210">
        <v>1</v>
      </c>
      <c r="Q24" s="210">
        <v>1016046.91</v>
      </c>
      <c r="R24" s="210"/>
      <c r="S24" s="210"/>
      <c r="T24" s="210"/>
      <c r="U24" s="210"/>
      <c r="V24" s="210"/>
      <c r="W24" s="210"/>
      <c r="X24" s="210"/>
      <c r="Y24" s="210"/>
      <c r="Z24" s="210"/>
      <c r="AA24" s="210"/>
      <c r="AB24" s="210"/>
      <c r="AC24" s="210"/>
      <c r="AD24" s="210"/>
      <c r="AE24" s="210"/>
      <c r="AF24" s="210"/>
      <c r="AG24" s="210"/>
      <c r="AH24" s="210"/>
      <c r="AI24" s="210"/>
      <c r="AJ24" s="210"/>
    </row>
    <row r="25" spans="1:36">
      <c r="A25" s="210" t="s">
        <v>442</v>
      </c>
      <c r="B25" s="210" t="s">
        <v>572</v>
      </c>
      <c r="C25" s="210"/>
      <c r="D25" s="210"/>
      <c r="E25" s="210"/>
      <c r="F25" s="210"/>
      <c r="G25" s="210"/>
      <c r="H25" s="210"/>
      <c r="I25" s="210"/>
      <c r="J25" s="210"/>
      <c r="K25" s="210"/>
      <c r="L25" s="210">
        <v>9.9999999999999995E-7</v>
      </c>
      <c r="M25" s="210">
        <v>1E-3</v>
      </c>
      <c r="N25" s="210">
        <f>M22*Q21</f>
        <v>453.59237000000002</v>
      </c>
      <c r="O25" s="210"/>
      <c r="P25" s="210"/>
      <c r="Q25" s="210">
        <v>1</v>
      </c>
      <c r="R25" s="210"/>
      <c r="S25" s="210"/>
      <c r="T25" s="210"/>
      <c r="U25" s="210"/>
      <c r="V25" s="210"/>
      <c r="W25" s="210"/>
      <c r="X25" s="210"/>
      <c r="Y25" s="210"/>
      <c r="Z25" s="210"/>
      <c r="AA25" s="210"/>
      <c r="AB25" s="210"/>
      <c r="AC25" s="210"/>
      <c r="AD25" s="210"/>
      <c r="AE25" s="210"/>
      <c r="AF25" s="210"/>
      <c r="AG25" s="210"/>
      <c r="AH25" s="210"/>
      <c r="AI25" s="210"/>
      <c r="AJ25" s="210"/>
    </row>
    <row r="26" spans="1:36">
      <c r="A26" s="210" t="s">
        <v>577</v>
      </c>
      <c r="B26" s="210" t="s">
        <v>578</v>
      </c>
      <c r="C26" s="210"/>
      <c r="D26" s="210"/>
      <c r="E26" s="210"/>
      <c r="F26" s="210"/>
      <c r="G26" s="210"/>
      <c r="H26" s="210"/>
      <c r="I26" s="210"/>
      <c r="J26" s="210"/>
      <c r="K26" s="210"/>
      <c r="L26" s="210"/>
      <c r="M26" s="210"/>
      <c r="N26" s="210"/>
      <c r="O26" s="210"/>
      <c r="P26" s="210"/>
      <c r="Q26" s="210"/>
      <c r="R26" s="210">
        <v>1</v>
      </c>
      <c r="S26" s="210">
        <v>0.86897599999999997</v>
      </c>
      <c r="T26" s="210">
        <v>1609.3440000000001</v>
      </c>
      <c r="U26" s="210">
        <v>1.6093440000000001</v>
      </c>
      <c r="V26" s="210"/>
      <c r="W26" s="210"/>
      <c r="X26" s="210"/>
      <c r="Y26" s="210"/>
      <c r="Z26" s="210"/>
      <c r="AA26" s="210"/>
      <c r="AB26" s="210"/>
      <c r="AC26" s="210"/>
      <c r="AD26" s="210"/>
      <c r="AE26" s="210"/>
      <c r="AF26" s="210"/>
      <c r="AG26" s="210"/>
      <c r="AH26" s="210"/>
      <c r="AI26" s="210"/>
      <c r="AJ26" s="210"/>
    </row>
    <row r="27" spans="1:36">
      <c r="A27" s="210" t="s">
        <v>584</v>
      </c>
      <c r="B27" s="210" t="s">
        <v>585</v>
      </c>
      <c r="C27" s="210"/>
      <c r="D27" s="210"/>
      <c r="E27" s="210"/>
      <c r="F27" s="210"/>
      <c r="G27" s="210"/>
      <c r="H27" s="210"/>
      <c r="I27" s="210"/>
      <c r="J27" s="210"/>
      <c r="K27" s="210"/>
      <c r="L27" s="210"/>
      <c r="M27" s="210"/>
      <c r="N27" s="210"/>
      <c r="O27" s="210"/>
      <c r="P27" s="210"/>
      <c r="Q27" s="210"/>
      <c r="R27" s="210">
        <v>1.150779</v>
      </c>
      <c r="S27" s="210">
        <v>1</v>
      </c>
      <c r="T27" s="210">
        <v>1852</v>
      </c>
      <c r="U27" s="210">
        <v>1.8520000000000001</v>
      </c>
      <c r="V27" s="210"/>
      <c r="W27" s="210"/>
      <c r="X27" s="210"/>
      <c r="Y27" s="210"/>
      <c r="Z27" s="210"/>
      <c r="AA27" s="210"/>
      <c r="AB27" s="210"/>
      <c r="AC27" s="210"/>
      <c r="AD27" s="210"/>
      <c r="AE27" s="210"/>
      <c r="AF27" s="210"/>
      <c r="AG27" s="210"/>
      <c r="AH27" s="210"/>
      <c r="AI27" s="210"/>
      <c r="AJ27" s="210"/>
    </row>
    <row r="28" spans="1:36">
      <c r="A28" s="210" t="s">
        <v>590</v>
      </c>
      <c r="B28" s="210" t="s">
        <v>591</v>
      </c>
      <c r="C28" s="210"/>
      <c r="D28" s="210"/>
      <c r="E28" s="210"/>
      <c r="F28" s="210"/>
      <c r="G28" s="210"/>
      <c r="H28" s="210"/>
      <c r="I28" s="210"/>
      <c r="J28" s="210"/>
      <c r="K28" s="210"/>
      <c r="L28" s="210"/>
      <c r="M28" s="210"/>
      <c r="N28" s="210"/>
      <c r="O28" s="210"/>
      <c r="P28" s="210"/>
      <c r="Q28" s="210"/>
      <c r="R28" s="210">
        <v>6.2100000000000002E-4</v>
      </c>
      <c r="S28" s="210">
        <v>5.4000000000000001E-4</v>
      </c>
      <c r="T28" s="210">
        <v>1</v>
      </c>
      <c r="U28" s="210">
        <v>1E-3</v>
      </c>
      <c r="V28" s="210"/>
      <c r="W28" s="210"/>
      <c r="X28" s="210"/>
      <c r="Y28" s="210"/>
      <c r="Z28" s="210"/>
      <c r="AA28" s="210"/>
      <c r="AB28" s="210"/>
      <c r="AC28" s="210"/>
      <c r="AD28" s="210"/>
      <c r="AE28" s="210"/>
      <c r="AF28" s="210"/>
      <c r="AG28" s="210"/>
      <c r="AH28" s="210"/>
      <c r="AI28" s="210"/>
      <c r="AJ28" s="210"/>
    </row>
    <row r="29" spans="1:36">
      <c r="A29" s="210" t="s">
        <v>485</v>
      </c>
      <c r="B29" s="210" t="s">
        <v>595</v>
      </c>
      <c r="C29" s="210"/>
      <c r="D29" s="210"/>
      <c r="E29" s="210"/>
      <c r="F29" s="210"/>
      <c r="G29" s="210"/>
      <c r="H29" s="210"/>
      <c r="I29" s="210"/>
      <c r="J29" s="210"/>
      <c r="K29" s="210"/>
      <c r="L29" s="210"/>
      <c r="M29" s="210"/>
      <c r="N29" s="210"/>
      <c r="O29" s="210"/>
      <c r="P29" s="210"/>
      <c r="Q29" s="210"/>
      <c r="R29" s="210">
        <v>0.62137119200000002</v>
      </c>
      <c r="S29" s="210">
        <v>0.53995700000000002</v>
      </c>
      <c r="T29" s="210">
        <v>1000</v>
      </c>
      <c r="U29" s="210">
        <v>1</v>
      </c>
      <c r="V29" s="210"/>
      <c r="W29" s="210"/>
      <c r="X29" s="210"/>
      <c r="Y29" s="210"/>
      <c r="Z29" s="210"/>
      <c r="AA29" s="210"/>
      <c r="AB29" s="210"/>
      <c r="AC29" s="210"/>
      <c r="AD29" s="210"/>
      <c r="AE29" s="210"/>
      <c r="AF29" s="210"/>
      <c r="AG29" s="210"/>
      <c r="AH29" s="210"/>
      <c r="AI29" s="210"/>
      <c r="AJ29" s="210"/>
    </row>
    <row r="30" spans="1:36">
      <c r="A30" s="210" t="s">
        <v>399</v>
      </c>
      <c r="B30" s="210" t="s">
        <v>599</v>
      </c>
      <c r="C30" s="210"/>
      <c r="D30" s="210"/>
      <c r="E30" s="210"/>
      <c r="F30" s="210"/>
      <c r="G30" s="210"/>
      <c r="H30" s="210"/>
      <c r="I30" s="210"/>
      <c r="J30" s="210"/>
      <c r="K30" s="210"/>
      <c r="L30" s="210"/>
      <c r="M30" s="210"/>
      <c r="N30" s="210"/>
      <c r="O30" s="210"/>
      <c r="P30" s="210"/>
      <c r="Q30" s="210"/>
      <c r="R30" s="210"/>
      <c r="S30" s="210"/>
      <c r="T30" s="210"/>
      <c r="U30" s="210"/>
      <c r="V30" s="210">
        <v>1</v>
      </c>
      <c r="W30" s="210">
        <v>1E-3</v>
      </c>
      <c r="X30" s="210">
        <v>9.9999999999999995E-7</v>
      </c>
      <c r="Y30" s="210">
        <v>3.4121416299999999E-2</v>
      </c>
      <c r="Z30" s="210">
        <v>3412.1416300000001</v>
      </c>
      <c r="AA30" s="210">
        <v>3.4121416300000001E-3</v>
      </c>
      <c r="AB30" s="210">
        <v>3.6</v>
      </c>
      <c r="AC30" s="210">
        <v>3.5999999999999999E-3</v>
      </c>
      <c r="AD30" s="210"/>
      <c r="AE30" s="210"/>
      <c r="AF30" s="210"/>
      <c r="AG30" s="210"/>
      <c r="AH30" s="210"/>
      <c r="AI30" s="210"/>
      <c r="AJ30" s="210"/>
    </row>
    <row r="31" spans="1:36">
      <c r="A31" s="210" t="s">
        <v>496</v>
      </c>
      <c r="B31" s="210" t="s">
        <v>604</v>
      </c>
      <c r="C31" s="210"/>
      <c r="D31" s="210"/>
      <c r="E31" s="210"/>
      <c r="F31" s="210"/>
      <c r="G31" s="210"/>
      <c r="H31" s="210"/>
      <c r="I31" s="210"/>
      <c r="J31" s="210"/>
      <c r="K31" s="210"/>
      <c r="L31" s="210"/>
      <c r="M31" s="210"/>
      <c r="N31" s="210"/>
      <c r="O31" s="210"/>
      <c r="P31" s="210"/>
      <c r="Q31" s="210"/>
      <c r="R31" s="210"/>
      <c r="S31" s="210"/>
      <c r="T31" s="210"/>
      <c r="U31" s="210"/>
      <c r="V31" s="210">
        <v>1000</v>
      </c>
      <c r="W31" s="210">
        <v>1</v>
      </c>
      <c r="X31" s="210">
        <v>1E-3</v>
      </c>
      <c r="Y31" s="210">
        <f>Y30*1000</f>
        <v>34.1214163</v>
      </c>
      <c r="Z31" s="210">
        <f>Z30*1000</f>
        <v>3412141.63</v>
      </c>
      <c r="AA31" s="210">
        <f t="shared" ref="AA31:AC32" si="1">AA30*1000</f>
        <v>3.4121416300000003</v>
      </c>
      <c r="AB31" s="210">
        <f t="shared" si="1"/>
        <v>3600</v>
      </c>
      <c r="AC31" s="210">
        <f t="shared" si="1"/>
        <v>3.6</v>
      </c>
      <c r="AD31" s="210"/>
      <c r="AE31" s="210"/>
      <c r="AF31" s="210"/>
      <c r="AG31" s="210"/>
      <c r="AH31" s="210"/>
      <c r="AI31" s="210"/>
      <c r="AJ31" s="210"/>
    </row>
    <row r="32" spans="1:36">
      <c r="A32" s="210" t="s">
        <v>609</v>
      </c>
      <c r="B32" s="210" t="s">
        <v>610</v>
      </c>
      <c r="C32" s="210"/>
      <c r="D32" s="210"/>
      <c r="E32" s="210"/>
      <c r="F32" s="210"/>
      <c r="G32" s="210"/>
      <c r="H32" s="210"/>
      <c r="I32" s="210"/>
      <c r="J32" s="210"/>
      <c r="K32" s="210"/>
      <c r="L32" s="210"/>
      <c r="M32" s="210"/>
      <c r="N32" s="210"/>
      <c r="O32" s="210"/>
      <c r="P32" s="210"/>
      <c r="Q32" s="210"/>
      <c r="R32" s="210"/>
      <c r="S32" s="210"/>
      <c r="T32" s="210"/>
      <c r="U32" s="210"/>
      <c r="V32" s="210">
        <v>1000000</v>
      </c>
      <c r="W32" s="210">
        <v>1000</v>
      </c>
      <c r="X32" s="210">
        <v>1</v>
      </c>
      <c r="Y32" s="210">
        <f>Y31*1000</f>
        <v>34121.416299999997</v>
      </c>
      <c r="Z32" s="210">
        <f>Z31*1000</f>
        <v>3412141630</v>
      </c>
      <c r="AA32" s="210">
        <f t="shared" si="1"/>
        <v>3412.1416300000001</v>
      </c>
      <c r="AB32" s="210">
        <f t="shared" si="1"/>
        <v>3600000</v>
      </c>
      <c r="AC32" s="210">
        <f t="shared" si="1"/>
        <v>3600</v>
      </c>
      <c r="AD32" s="210"/>
      <c r="AE32" s="210"/>
      <c r="AF32" s="210"/>
      <c r="AG32" s="210"/>
      <c r="AH32" s="210"/>
      <c r="AI32" s="210"/>
      <c r="AJ32" s="210"/>
    </row>
    <row r="33" spans="1:39">
      <c r="A33" s="210" t="s">
        <v>484</v>
      </c>
      <c r="B33" s="210" t="s">
        <v>523</v>
      </c>
      <c r="C33" s="210"/>
      <c r="D33" s="210"/>
      <c r="E33" s="210"/>
      <c r="F33" s="210"/>
      <c r="G33" s="210"/>
      <c r="H33" s="210"/>
      <c r="I33" s="210"/>
      <c r="J33" s="210"/>
      <c r="K33" s="210"/>
      <c r="L33" s="210"/>
      <c r="M33" s="210"/>
      <c r="N33" s="210"/>
      <c r="O33" s="210"/>
      <c r="P33" s="210"/>
      <c r="Q33" s="210"/>
      <c r="R33" s="210"/>
      <c r="S33" s="210"/>
      <c r="T33" s="210"/>
      <c r="U33" s="210"/>
      <c r="V33" s="210">
        <v>29.307106999999998</v>
      </c>
      <c r="W33" s="210">
        <v>2.9307106999999999E-2</v>
      </c>
      <c r="X33" s="210">
        <v>2.9307106999999998E-5</v>
      </c>
      <c r="Y33" s="210">
        <v>1</v>
      </c>
      <c r="Z33" s="210">
        <v>100000</v>
      </c>
      <c r="AA33" s="210">
        <f>Z33/1000000</f>
        <v>0.1</v>
      </c>
      <c r="AB33" s="210">
        <v>105.505585</v>
      </c>
      <c r="AC33" s="210">
        <v>0.105505585</v>
      </c>
      <c r="AD33" s="210"/>
      <c r="AE33" s="210"/>
      <c r="AF33" s="210"/>
      <c r="AG33" s="210"/>
      <c r="AH33" s="210"/>
      <c r="AI33" s="210"/>
      <c r="AJ33" s="210"/>
    </row>
    <row r="34" spans="1:39">
      <c r="A34" s="210" t="s">
        <v>619</v>
      </c>
      <c r="B34" s="210" t="s">
        <v>619</v>
      </c>
      <c r="C34" s="210"/>
      <c r="D34" s="210"/>
      <c r="E34" s="210"/>
      <c r="F34" s="210"/>
      <c r="G34" s="210"/>
      <c r="H34" s="210"/>
      <c r="I34" s="210"/>
      <c r="J34" s="210"/>
      <c r="K34" s="210"/>
      <c r="L34" s="210"/>
      <c r="M34" s="210"/>
      <c r="N34" s="210"/>
      <c r="O34" s="210"/>
      <c r="P34" s="210"/>
      <c r="Q34" s="210"/>
      <c r="R34" s="210"/>
      <c r="S34" s="210"/>
      <c r="T34" s="210"/>
      <c r="U34" s="210"/>
      <c r="V34" s="210">
        <v>2.9307106999999999E-4</v>
      </c>
      <c r="W34" s="210">
        <v>2.9307106999999998E-7</v>
      </c>
      <c r="X34" s="210">
        <v>2.9307106999999996E-10</v>
      </c>
      <c r="Y34" s="210">
        <v>1.0000000000000001E-5</v>
      </c>
      <c r="Z34" s="210">
        <v>1</v>
      </c>
      <c r="AA34" s="210">
        <f>Z34/1000000</f>
        <v>9.9999999999999995E-7</v>
      </c>
      <c r="AB34" s="210">
        <v>1.0550558499999999E-3</v>
      </c>
      <c r="AC34" s="210">
        <v>1.05505585E-6</v>
      </c>
      <c r="AD34" s="210"/>
      <c r="AE34" s="210"/>
      <c r="AF34" s="210"/>
      <c r="AG34" s="210"/>
      <c r="AH34" s="210"/>
      <c r="AI34" s="210"/>
      <c r="AJ34" s="210"/>
    </row>
    <row r="35" spans="1:39">
      <c r="A35" s="210" t="s">
        <v>624</v>
      </c>
      <c r="B35" s="210" t="s">
        <v>624</v>
      </c>
      <c r="C35" s="210"/>
      <c r="D35" s="210"/>
      <c r="E35" s="210"/>
      <c r="F35" s="210"/>
      <c r="G35" s="210"/>
      <c r="H35" s="210"/>
      <c r="I35" s="210"/>
      <c r="J35" s="210"/>
      <c r="K35" s="210"/>
      <c r="L35" s="210"/>
      <c r="M35" s="210"/>
      <c r="N35" s="210"/>
      <c r="O35" s="210"/>
      <c r="P35" s="210"/>
      <c r="Q35" s="210"/>
      <c r="R35" s="210"/>
      <c r="S35" s="210"/>
      <c r="T35" s="210"/>
      <c r="U35" s="210"/>
      <c r="V35" s="210">
        <f t="shared" ref="V35:AC35" si="2">V34*1000000</f>
        <v>293.07106999999996</v>
      </c>
      <c r="W35" s="210">
        <f t="shared" si="2"/>
        <v>0.29307106999999999</v>
      </c>
      <c r="X35" s="210">
        <f t="shared" si="2"/>
        <v>2.9307106999999994E-4</v>
      </c>
      <c r="Y35" s="210">
        <f t="shared" si="2"/>
        <v>10</v>
      </c>
      <c r="Z35" s="210">
        <f t="shared" si="2"/>
        <v>1000000</v>
      </c>
      <c r="AA35" s="210">
        <f t="shared" si="2"/>
        <v>1</v>
      </c>
      <c r="AB35" s="210">
        <f t="shared" si="2"/>
        <v>1055.05585</v>
      </c>
      <c r="AC35" s="210">
        <f t="shared" si="2"/>
        <v>1.05505585</v>
      </c>
      <c r="AD35" s="210"/>
      <c r="AE35" s="210"/>
      <c r="AF35" s="210"/>
      <c r="AG35" s="210"/>
      <c r="AH35" s="210"/>
      <c r="AI35" s="210"/>
      <c r="AJ35" s="210"/>
    </row>
    <row r="36" spans="1:39">
      <c r="A36" s="210" t="s">
        <v>471</v>
      </c>
      <c r="B36" s="210" t="s">
        <v>628</v>
      </c>
      <c r="C36" s="210"/>
      <c r="D36" s="210"/>
      <c r="E36" s="210"/>
      <c r="F36" s="210"/>
      <c r="G36" s="210"/>
      <c r="H36" s="210"/>
      <c r="I36" s="210"/>
      <c r="J36" s="210"/>
      <c r="K36" s="210"/>
      <c r="L36" s="210"/>
      <c r="M36" s="210"/>
      <c r="N36" s="210"/>
      <c r="O36" s="210"/>
      <c r="P36" s="210"/>
      <c r="Q36" s="210"/>
      <c r="R36" s="210"/>
      <c r="S36" s="210"/>
      <c r="T36" s="210"/>
      <c r="U36" s="210"/>
      <c r="V36" s="210">
        <v>0.27777777799999998</v>
      </c>
      <c r="W36" s="210">
        <v>2.7777777799999997E-4</v>
      </c>
      <c r="X36" s="210">
        <v>2.7777777799999998E-7</v>
      </c>
      <c r="Y36" s="210">
        <v>9.4781711999999997E-3</v>
      </c>
      <c r="Z36" s="210">
        <v>947.81712000000005</v>
      </c>
      <c r="AA36" s="210">
        <f>Z36/1000000</f>
        <v>9.4781712000000006E-4</v>
      </c>
      <c r="AB36" s="210">
        <v>1</v>
      </c>
      <c r="AC36" s="210">
        <v>1E-3</v>
      </c>
      <c r="AD36" s="210"/>
      <c r="AE36" s="210"/>
      <c r="AF36" s="210"/>
      <c r="AG36" s="210"/>
      <c r="AH36" s="210"/>
      <c r="AI36" s="210"/>
      <c r="AJ36" s="210"/>
    </row>
    <row r="37" spans="1:39">
      <c r="A37" s="210" t="s">
        <v>448</v>
      </c>
      <c r="B37" s="210" t="s">
        <v>634</v>
      </c>
      <c r="C37" s="210"/>
      <c r="D37" s="210"/>
      <c r="E37" s="210"/>
      <c r="F37" s="210"/>
      <c r="G37" s="210"/>
      <c r="H37" s="210"/>
      <c r="I37" s="210"/>
      <c r="J37" s="210"/>
      <c r="K37" s="210"/>
      <c r="L37" s="210"/>
      <c r="M37" s="210"/>
      <c r="N37" s="210"/>
      <c r="O37" s="210"/>
      <c r="P37" s="210"/>
      <c r="Q37" s="210"/>
      <c r="R37" s="210"/>
      <c r="S37" s="210"/>
      <c r="T37" s="210"/>
      <c r="U37" s="210"/>
      <c r="V37" s="210">
        <v>277.77777800000001</v>
      </c>
      <c r="W37" s="210">
        <v>0.27777777800000003</v>
      </c>
      <c r="X37" s="210">
        <v>2.7777777800000003E-4</v>
      </c>
      <c r="Y37" s="210">
        <v>9.4781712000000002</v>
      </c>
      <c r="Z37" s="210">
        <v>947817.12</v>
      </c>
      <c r="AA37" s="210">
        <f>Z37/1000000</f>
        <v>0.94781711999999996</v>
      </c>
      <c r="AB37" s="210">
        <v>1000</v>
      </c>
      <c r="AC37" s="210">
        <v>1</v>
      </c>
      <c r="AD37" s="210"/>
      <c r="AE37" s="210"/>
      <c r="AF37" s="210"/>
      <c r="AG37" s="210"/>
      <c r="AH37" s="210"/>
      <c r="AI37" s="210"/>
      <c r="AJ37" s="210"/>
    </row>
    <row r="38" spans="1:39">
      <c r="A38" s="210" t="s">
        <v>640</v>
      </c>
      <c r="B38" s="210" t="s">
        <v>641</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v>1</v>
      </c>
      <c r="AE38" s="210">
        <v>1.1023113099999999</v>
      </c>
      <c r="AF38" s="210">
        <v>1.7739980900000001</v>
      </c>
      <c r="AG38" s="210">
        <v>1.6093440000000001</v>
      </c>
      <c r="AH38" s="210"/>
      <c r="AI38" s="210"/>
      <c r="AJ38" s="210"/>
    </row>
    <row r="39" spans="1:39">
      <c r="A39" s="210" t="s">
        <v>644</v>
      </c>
      <c r="B39" s="210" t="s">
        <v>645</v>
      </c>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v>0.90718474076075661</v>
      </c>
      <c r="AE39" s="210">
        <v>1</v>
      </c>
      <c r="AF39" s="210">
        <v>1.6093440006146924</v>
      </c>
      <c r="AG39" s="210">
        <v>1.4599723194348793</v>
      </c>
      <c r="AH39" s="210"/>
      <c r="AI39" s="210"/>
      <c r="AJ39" s="210"/>
    </row>
    <row r="40" spans="1:39">
      <c r="A40" s="210" t="s">
        <v>650</v>
      </c>
      <c r="B40" s="210" t="s">
        <v>651</v>
      </c>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v>0.5636984637307223</v>
      </c>
      <c r="AE40" s="210">
        <v>0.62137119199999991</v>
      </c>
      <c r="AF40" s="210">
        <v>1</v>
      </c>
      <c r="AG40" s="210">
        <v>0.90718474000000004</v>
      </c>
      <c r="AH40" s="210"/>
      <c r="AI40" s="210"/>
      <c r="AJ40" s="210"/>
    </row>
    <row r="41" spans="1:39">
      <c r="A41" s="210" t="s">
        <v>657</v>
      </c>
      <c r="B41" s="210" t="s">
        <v>658</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v>0.62137119200000002</v>
      </c>
      <c r="AE41" s="210">
        <v>0.68494449264978152</v>
      </c>
      <c r="AF41" s="210">
        <v>1.1023113099999999</v>
      </c>
      <c r="AG41" s="210">
        <v>1</v>
      </c>
      <c r="AH41" s="210"/>
      <c r="AI41" s="210"/>
      <c r="AJ41" s="210"/>
    </row>
    <row r="42" spans="1:39">
      <c r="A42" s="210" t="s">
        <v>663</v>
      </c>
      <c r="B42" s="210" t="s">
        <v>664</v>
      </c>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v>1</v>
      </c>
      <c r="AI42" s="210"/>
      <c r="AJ42" s="210"/>
    </row>
    <row r="43" spans="1:39">
      <c r="A43" s="210" t="s">
        <v>669</v>
      </c>
      <c r="B43" s="210" t="s">
        <v>670</v>
      </c>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v>1</v>
      </c>
      <c r="AJ43" s="210">
        <v>2.35214583</v>
      </c>
    </row>
    <row r="44" spans="1:39">
      <c r="A44" s="210" t="s">
        <v>675</v>
      </c>
      <c r="B44" s="210" t="s">
        <v>676</v>
      </c>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v>2.35214583</v>
      </c>
      <c r="AJ44" s="210">
        <v>1</v>
      </c>
    </row>
    <row r="45" spans="1:39">
      <c r="A45" t="s">
        <v>680</v>
      </c>
      <c r="B45" t="s">
        <v>681</v>
      </c>
      <c r="AK45">
        <v>1</v>
      </c>
      <c r="AL45">
        <f>1/AK46</f>
        <v>2.295684113865932E-5</v>
      </c>
      <c r="AM45">
        <f>1/AK47</f>
        <v>9.2903040000083915E-6</v>
      </c>
    </row>
    <row r="46" spans="1:39">
      <c r="A46" t="s">
        <v>686</v>
      </c>
      <c r="B46" t="s">
        <v>687</v>
      </c>
      <c r="AK46">
        <v>43560</v>
      </c>
      <c r="AL46">
        <v>1</v>
      </c>
      <c r="AM46">
        <v>0.4046863</v>
      </c>
    </row>
    <row r="47" spans="1:39">
      <c r="A47" t="s">
        <v>690</v>
      </c>
      <c r="B47" t="s">
        <v>691</v>
      </c>
      <c r="AK47">
        <v>107639.104167</v>
      </c>
      <c r="AL47">
        <v>2.471044</v>
      </c>
      <c r="AM47">
        <v>1</v>
      </c>
    </row>
    <row r="50" spans="2:6">
      <c r="B50" t="s">
        <v>863</v>
      </c>
    </row>
    <row r="51" spans="2:6">
      <c r="C51" t="s">
        <v>864</v>
      </c>
    </row>
    <row r="52" spans="2:6">
      <c r="C52">
        <v>2</v>
      </c>
      <c r="D52">
        <v>3</v>
      </c>
      <c r="E52">
        <v>4</v>
      </c>
      <c r="F52">
        <v>5</v>
      </c>
    </row>
    <row r="53" spans="2:6">
      <c r="B53" t="s">
        <v>865</v>
      </c>
    </row>
    <row r="54" spans="2:6">
      <c r="B54" t="s">
        <v>866</v>
      </c>
      <c r="C54" t="s">
        <v>867</v>
      </c>
      <c r="D54" t="s">
        <v>868</v>
      </c>
      <c r="E54" t="s">
        <v>869</v>
      </c>
      <c r="F54" t="s">
        <v>404</v>
      </c>
    </row>
    <row r="55" spans="2:6">
      <c r="B55" t="s">
        <v>870</v>
      </c>
      <c r="C55" t="s">
        <v>551</v>
      </c>
      <c r="D55" t="s">
        <v>442</v>
      </c>
      <c r="E55">
        <v>453.59237000000002</v>
      </c>
      <c r="F55" t="s">
        <v>871</v>
      </c>
    </row>
    <row r="56" spans="2:6">
      <c r="B56" t="s">
        <v>872</v>
      </c>
      <c r="C56" t="s">
        <v>551</v>
      </c>
      <c r="D56" t="s">
        <v>84</v>
      </c>
      <c r="E56">
        <v>0.45359237000000002</v>
      </c>
      <c r="F56" t="s">
        <v>873</v>
      </c>
    </row>
    <row r="57" spans="2:6">
      <c r="B57" t="s">
        <v>874</v>
      </c>
      <c r="C57" t="s">
        <v>551</v>
      </c>
      <c r="D57" t="s">
        <v>875</v>
      </c>
      <c r="E57">
        <v>4.5359236999999999E-4</v>
      </c>
      <c r="F57" t="s">
        <v>876</v>
      </c>
    </row>
    <row r="58" spans="2:6">
      <c r="B58" t="s">
        <v>877</v>
      </c>
      <c r="C58" t="s">
        <v>84</v>
      </c>
      <c r="D58" t="s">
        <v>551</v>
      </c>
      <c r="E58">
        <v>2.2046226199999999</v>
      </c>
      <c r="F58" t="s">
        <v>878</v>
      </c>
    </row>
    <row r="59" spans="2:6">
      <c r="B59" t="s">
        <v>879</v>
      </c>
      <c r="C59" t="s">
        <v>84</v>
      </c>
      <c r="D59" t="s">
        <v>875</v>
      </c>
      <c r="E59">
        <v>1E-3</v>
      </c>
      <c r="F59" t="s">
        <v>880</v>
      </c>
    </row>
    <row r="60" spans="2:6">
      <c r="B60" t="s">
        <v>881</v>
      </c>
      <c r="C60" t="s">
        <v>882</v>
      </c>
      <c r="D60" t="s">
        <v>551</v>
      </c>
      <c r="E60">
        <v>2000</v>
      </c>
      <c r="F60" t="s">
        <v>883</v>
      </c>
    </row>
    <row r="61" spans="2:6">
      <c r="B61" t="s">
        <v>884</v>
      </c>
      <c r="C61" t="s">
        <v>882</v>
      </c>
      <c r="D61" t="s">
        <v>84</v>
      </c>
      <c r="E61">
        <v>907.18474000000003</v>
      </c>
      <c r="F61" t="s">
        <v>885</v>
      </c>
    </row>
    <row r="62" spans="2:6">
      <c r="B62" t="s">
        <v>886</v>
      </c>
      <c r="C62" t="s">
        <v>875</v>
      </c>
      <c r="D62" t="s">
        <v>551</v>
      </c>
      <c r="E62">
        <v>2204.6226200000001</v>
      </c>
      <c r="F62" t="s">
        <v>887</v>
      </c>
    </row>
    <row r="63" spans="2:6">
      <c r="B63" t="s">
        <v>888</v>
      </c>
      <c r="C63" t="s">
        <v>875</v>
      </c>
      <c r="D63" t="s">
        <v>84</v>
      </c>
      <c r="E63">
        <v>1000</v>
      </c>
      <c r="F63" t="s">
        <v>889</v>
      </c>
    </row>
    <row r="64" spans="2:6">
      <c r="B64" t="s">
        <v>890</v>
      </c>
      <c r="C64" t="s">
        <v>875</v>
      </c>
      <c r="D64" t="s">
        <v>882</v>
      </c>
      <c r="E64">
        <v>1.1023113099999999</v>
      </c>
      <c r="F64" t="s">
        <v>891</v>
      </c>
    </row>
    <row r="66" spans="2:6">
      <c r="B66" t="s">
        <v>892</v>
      </c>
    </row>
    <row r="67" spans="2:6">
      <c r="B67" t="s">
        <v>866</v>
      </c>
      <c r="C67" t="s">
        <v>867</v>
      </c>
      <c r="D67" t="s">
        <v>868</v>
      </c>
      <c r="E67" t="s">
        <v>869</v>
      </c>
      <c r="F67" t="s">
        <v>404</v>
      </c>
    </row>
    <row r="68" spans="2:6">
      <c r="B68" t="s">
        <v>893</v>
      </c>
      <c r="C68" t="s">
        <v>491</v>
      </c>
      <c r="D68" t="s">
        <v>433</v>
      </c>
      <c r="E68">
        <v>7.4805194799999999</v>
      </c>
      <c r="F68" t="s">
        <v>894</v>
      </c>
    </row>
    <row r="69" spans="2:6">
      <c r="B69" t="s">
        <v>895</v>
      </c>
      <c r="C69" t="s">
        <v>491</v>
      </c>
      <c r="D69" t="s">
        <v>478</v>
      </c>
      <c r="E69">
        <v>0.178107607</v>
      </c>
      <c r="F69" t="s">
        <v>896</v>
      </c>
    </row>
    <row r="70" spans="2:6">
      <c r="B70" t="s">
        <v>897</v>
      </c>
      <c r="C70" t="s">
        <v>491</v>
      </c>
      <c r="D70" t="s">
        <v>457</v>
      </c>
      <c r="E70">
        <v>28.316846600000002</v>
      </c>
      <c r="F70" t="s">
        <v>898</v>
      </c>
    </row>
    <row r="71" spans="2:6">
      <c r="B71" t="s">
        <v>899</v>
      </c>
      <c r="C71" t="s">
        <v>491</v>
      </c>
      <c r="D71" t="s">
        <v>507</v>
      </c>
      <c r="E71">
        <v>2.8316846600000001E-2</v>
      </c>
      <c r="F71" t="s">
        <v>900</v>
      </c>
    </row>
    <row r="72" spans="2:6">
      <c r="B72" t="s">
        <v>901</v>
      </c>
      <c r="C72" t="s">
        <v>433</v>
      </c>
      <c r="D72" t="s">
        <v>478</v>
      </c>
      <c r="E72">
        <v>2.3800000000000002E-2</v>
      </c>
      <c r="F72" t="s">
        <v>902</v>
      </c>
    </row>
    <row r="73" spans="2:6">
      <c r="B73" t="s">
        <v>903</v>
      </c>
      <c r="C73" t="s">
        <v>433</v>
      </c>
      <c r="D73" t="s">
        <v>457</v>
      </c>
      <c r="E73">
        <v>3.78541178</v>
      </c>
      <c r="F73" t="s">
        <v>904</v>
      </c>
    </row>
    <row r="74" spans="2:6">
      <c r="B74" t="s">
        <v>905</v>
      </c>
      <c r="C74" t="s">
        <v>433</v>
      </c>
      <c r="D74" t="s">
        <v>507</v>
      </c>
      <c r="E74">
        <v>3.7854117800000002E-3</v>
      </c>
      <c r="F74" t="s">
        <v>906</v>
      </c>
    </row>
    <row r="75" spans="2:6">
      <c r="B75" t="s">
        <v>907</v>
      </c>
      <c r="C75" t="s">
        <v>478</v>
      </c>
      <c r="D75" t="s">
        <v>433</v>
      </c>
      <c r="E75">
        <v>42</v>
      </c>
      <c r="F75" t="s">
        <v>908</v>
      </c>
    </row>
    <row r="76" spans="2:6">
      <c r="B76" t="s">
        <v>909</v>
      </c>
      <c r="C76" t="s">
        <v>478</v>
      </c>
      <c r="D76" t="s">
        <v>457</v>
      </c>
      <c r="E76">
        <v>158.98729499999999</v>
      </c>
      <c r="F76" t="s">
        <v>910</v>
      </c>
    </row>
    <row r="77" spans="2:6">
      <c r="B77" t="s">
        <v>911</v>
      </c>
      <c r="C77" t="s">
        <v>478</v>
      </c>
      <c r="D77" t="s">
        <v>507</v>
      </c>
      <c r="E77">
        <v>0.158987295</v>
      </c>
      <c r="F77" t="s">
        <v>912</v>
      </c>
    </row>
    <row r="78" spans="2:6">
      <c r="B78" t="s">
        <v>913</v>
      </c>
      <c r="C78" t="s">
        <v>457</v>
      </c>
      <c r="D78" t="s">
        <v>507</v>
      </c>
      <c r="E78">
        <v>1E-3</v>
      </c>
      <c r="F78" t="s">
        <v>914</v>
      </c>
    </row>
    <row r="79" spans="2:6">
      <c r="B79" t="s">
        <v>915</v>
      </c>
      <c r="C79" t="s">
        <v>457</v>
      </c>
      <c r="D79" t="s">
        <v>433</v>
      </c>
      <c r="E79">
        <v>0.26417205199999999</v>
      </c>
      <c r="F79" t="s">
        <v>916</v>
      </c>
    </row>
    <row r="80" spans="2:6">
      <c r="B80" t="s">
        <v>917</v>
      </c>
      <c r="C80" t="s">
        <v>507</v>
      </c>
      <c r="D80" t="s">
        <v>478</v>
      </c>
      <c r="E80">
        <v>6.2898107699999999</v>
      </c>
      <c r="F80" t="s">
        <v>918</v>
      </c>
    </row>
    <row r="81" spans="2:6">
      <c r="B81" t="s">
        <v>919</v>
      </c>
      <c r="C81" t="s">
        <v>507</v>
      </c>
      <c r="D81" t="s">
        <v>433</v>
      </c>
      <c r="E81">
        <v>264.17205200000001</v>
      </c>
      <c r="F81" t="s">
        <v>920</v>
      </c>
    </row>
    <row r="82" spans="2:6">
      <c r="B82" t="s">
        <v>921</v>
      </c>
      <c r="C82" t="s">
        <v>507</v>
      </c>
      <c r="D82" t="s">
        <v>457</v>
      </c>
      <c r="E82">
        <v>1000</v>
      </c>
      <c r="F82" t="s">
        <v>922</v>
      </c>
    </row>
    <row r="83" spans="2:6">
      <c r="B83" t="s">
        <v>923</v>
      </c>
      <c r="C83" t="s">
        <v>433</v>
      </c>
      <c r="D83" t="s">
        <v>433</v>
      </c>
      <c r="E83">
        <v>1</v>
      </c>
    </row>
    <row r="84" spans="2:6">
      <c r="B84" t="s">
        <v>924</v>
      </c>
      <c r="C84" t="s">
        <v>507</v>
      </c>
      <c r="D84" t="s">
        <v>507</v>
      </c>
      <c r="E84">
        <v>1</v>
      </c>
    </row>
    <row r="85" spans="2:6">
      <c r="B85" t="s">
        <v>925</v>
      </c>
      <c r="C85" t="s">
        <v>457</v>
      </c>
      <c r="D85" t="s">
        <v>457</v>
      </c>
      <c r="E85">
        <v>1</v>
      </c>
    </row>
    <row r="86" spans="2:6">
      <c r="B86" t="s">
        <v>926</v>
      </c>
      <c r="C86" t="s">
        <v>433</v>
      </c>
      <c r="D86" t="s">
        <v>491</v>
      </c>
      <c r="E86">
        <v>0.13368055556483893</v>
      </c>
    </row>
    <row r="87" spans="2:6">
      <c r="B87" t="s">
        <v>927</v>
      </c>
      <c r="C87" t="s">
        <v>457</v>
      </c>
      <c r="D87" t="s">
        <v>491</v>
      </c>
      <c r="E87">
        <v>3.531466671151158E-2</v>
      </c>
    </row>
    <row r="88" spans="2:6">
      <c r="B88" t="s">
        <v>928</v>
      </c>
      <c r="C88" t="s">
        <v>499</v>
      </c>
      <c r="D88" t="s">
        <v>491</v>
      </c>
      <c r="E88">
        <v>100</v>
      </c>
    </row>
    <row r="89" spans="2:6">
      <c r="B89" t="s">
        <v>929</v>
      </c>
      <c r="C89" t="s">
        <v>507</v>
      </c>
      <c r="D89" t="s">
        <v>491</v>
      </c>
      <c r="E89">
        <v>35.314666711511585</v>
      </c>
    </row>
    <row r="91" spans="2:6">
      <c r="B91" t="s">
        <v>930</v>
      </c>
    </row>
    <row r="92" spans="2:6">
      <c r="B92" t="s">
        <v>866</v>
      </c>
      <c r="C92" t="s">
        <v>867</v>
      </c>
      <c r="D92" t="s">
        <v>868</v>
      </c>
      <c r="E92" t="s">
        <v>869</v>
      </c>
      <c r="F92" t="s">
        <v>404</v>
      </c>
    </row>
    <row r="93" spans="2:6">
      <c r="B93" t="s">
        <v>931</v>
      </c>
      <c r="C93" t="s">
        <v>399</v>
      </c>
      <c r="D93" t="s">
        <v>440</v>
      </c>
      <c r="E93">
        <v>3412.1416300000001</v>
      </c>
      <c r="F93" t="s">
        <v>932</v>
      </c>
    </row>
    <row r="94" spans="2:6">
      <c r="B94" t="s">
        <v>933</v>
      </c>
      <c r="C94" t="s">
        <v>399</v>
      </c>
      <c r="D94" t="s">
        <v>934</v>
      </c>
      <c r="E94">
        <v>3600</v>
      </c>
      <c r="F94" t="s">
        <v>935</v>
      </c>
    </row>
    <row r="95" spans="2:6">
      <c r="B95" t="s">
        <v>936</v>
      </c>
      <c r="C95" t="s">
        <v>471</v>
      </c>
      <c r="D95" t="s">
        <v>448</v>
      </c>
      <c r="E95">
        <v>1E-3</v>
      </c>
      <c r="F95" t="s">
        <v>937</v>
      </c>
    </row>
    <row r="96" spans="2:6">
      <c r="B96" t="s">
        <v>938</v>
      </c>
      <c r="C96" t="s">
        <v>471</v>
      </c>
      <c r="D96" t="s">
        <v>464</v>
      </c>
      <c r="E96">
        <v>9.4781712000000006E-4</v>
      </c>
      <c r="F96" t="s">
        <v>939</v>
      </c>
    </row>
    <row r="97" spans="2:6">
      <c r="B97" t="s">
        <v>940</v>
      </c>
      <c r="C97" t="s">
        <v>448</v>
      </c>
      <c r="D97" t="s">
        <v>464</v>
      </c>
      <c r="E97">
        <v>0.94781711999999996</v>
      </c>
      <c r="F97" t="s">
        <v>941</v>
      </c>
    </row>
    <row r="98" spans="2:6">
      <c r="B98" t="s">
        <v>942</v>
      </c>
      <c r="C98" t="s">
        <v>399</v>
      </c>
      <c r="D98" t="s">
        <v>464</v>
      </c>
      <c r="E98">
        <v>3.4121416300000001E-3</v>
      </c>
      <c r="F98" t="s">
        <v>943</v>
      </c>
    </row>
    <row r="99" spans="2:6">
      <c r="B99" t="s">
        <v>944</v>
      </c>
      <c r="C99" t="s">
        <v>496</v>
      </c>
      <c r="D99" t="s">
        <v>464</v>
      </c>
      <c r="E99">
        <v>3.4121416300000003</v>
      </c>
      <c r="F99" t="s">
        <v>945</v>
      </c>
    </row>
    <row r="100" spans="2:6">
      <c r="B100" t="s">
        <v>946</v>
      </c>
      <c r="C100" t="s">
        <v>440</v>
      </c>
      <c r="D100" t="s">
        <v>464</v>
      </c>
      <c r="E100">
        <v>9.9999999999999995E-7</v>
      </c>
      <c r="F100" t="s">
        <v>947</v>
      </c>
    </row>
    <row r="101" spans="2:6">
      <c r="B101" t="s">
        <v>948</v>
      </c>
      <c r="C101" t="s">
        <v>471</v>
      </c>
      <c r="D101" t="s">
        <v>399</v>
      </c>
      <c r="E101">
        <v>0.27777777799999998</v>
      </c>
      <c r="F101" t="s">
        <v>949</v>
      </c>
    </row>
    <row r="102" spans="2:6">
      <c r="B102" t="s">
        <v>950</v>
      </c>
      <c r="C102" t="s">
        <v>448</v>
      </c>
      <c r="D102" t="s">
        <v>399</v>
      </c>
      <c r="E102">
        <v>277.77777800000001</v>
      </c>
      <c r="F102" t="s">
        <v>951</v>
      </c>
    </row>
    <row r="103" spans="2:6">
      <c r="B103" t="s">
        <v>952</v>
      </c>
      <c r="C103" t="s">
        <v>464</v>
      </c>
      <c r="D103" t="s">
        <v>448</v>
      </c>
      <c r="E103">
        <v>1.05505585</v>
      </c>
      <c r="F103" t="s">
        <v>953</v>
      </c>
    </row>
    <row r="104" spans="2:6">
      <c r="B104" t="s">
        <v>954</v>
      </c>
      <c r="C104" t="s">
        <v>464</v>
      </c>
      <c r="D104" t="s">
        <v>399</v>
      </c>
      <c r="E104">
        <v>293.07106999999996</v>
      </c>
      <c r="F104" t="s">
        <v>955</v>
      </c>
    </row>
    <row r="105" spans="2:6">
      <c r="B105" t="s">
        <v>956</v>
      </c>
      <c r="C105" t="s">
        <v>496</v>
      </c>
      <c r="D105" t="s">
        <v>399</v>
      </c>
      <c r="E105">
        <v>1000</v>
      </c>
      <c r="F105" t="s">
        <v>957</v>
      </c>
    </row>
    <row r="106" spans="2:6">
      <c r="B106" t="s">
        <v>958</v>
      </c>
      <c r="C106" t="s">
        <v>484</v>
      </c>
      <c r="D106" t="s">
        <v>440</v>
      </c>
      <c r="E106">
        <v>100000</v>
      </c>
      <c r="F106" t="s">
        <v>959</v>
      </c>
    </row>
    <row r="107" spans="2:6">
      <c r="B107" t="s">
        <v>960</v>
      </c>
      <c r="C107" t="s">
        <v>484</v>
      </c>
      <c r="D107" t="s">
        <v>448</v>
      </c>
      <c r="E107">
        <v>0.105505585</v>
      </c>
      <c r="F107" t="s">
        <v>961</v>
      </c>
    </row>
    <row r="108" spans="2:6">
      <c r="B108" t="s">
        <v>962</v>
      </c>
      <c r="C108" t="s">
        <v>484</v>
      </c>
      <c r="D108" t="s">
        <v>399</v>
      </c>
      <c r="E108">
        <v>29.307106999999998</v>
      </c>
      <c r="F108" t="s">
        <v>963</v>
      </c>
    </row>
    <row r="109" spans="2:6">
      <c r="B109" t="s">
        <v>964</v>
      </c>
      <c r="C109" t="s">
        <v>399</v>
      </c>
      <c r="D109" t="s">
        <v>496</v>
      </c>
      <c r="E109">
        <v>1E-3</v>
      </c>
      <c r="F109" t="s">
        <v>965</v>
      </c>
    </row>
    <row r="110" spans="2:6">
      <c r="B110" t="s">
        <v>966</v>
      </c>
      <c r="C110" t="s">
        <v>496</v>
      </c>
      <c r="D110" t="s">
        <v>496</v>
      </c>
      <c r="E110">
        <v>1</v>
      </c>
      <c r="F110" t="s">
        <v>967</v>
      </c>
    </row>
    <row r="111" spans="2:6">
      <c r="B111" t="s">
        <v>968</v>
      </c>
      <c r="C111" t="s">
        <v>619</v>
      </c>
      <c r="D111" t="s">
        <v>496</v>
      </c>
      <c r="E111">
        <v>2.9307106999999998E-7</v>
      </c>
      <c r="F111" t="s">
        <v>969</v>
      </c>
    </row>
    <row r="112" spans="2:6">
      <c r="B112" t="s">
        <v>970</v>
      </c>
      <c r="C112" t="s">
        <v>619</v>
      </c>
      <c r="D112" t="s">
        <v>399</v>
      </c>
      <c r="E112">
        <v>2.9307106999999999E-4</v>
      </c>
      <c r="F112" t="s">
        <v>971</v>
      </c>
    </row>
    <row r="113" spans="2:6">
      <c r="B113" t="s">
        <v>972</v>
      </c>
      <c r="C113" t="s">
        <v>624</v>
      </c>
      <c r="D113" t="s">
        <v>496</v>
      </c>
      <c r="E113">
        <v>0.29307106999999999</v>
      </c>
      <c r="F113" t="s">
        <v>973</v>
      </c>
    </row>
    <row r="114" spans="2:6">
      <c r="B114" t="s">
        <v>974</v>
      </c>
      <c r="C114" t="s">
        <v>448</v>
      </c>
      <c r="D114" t="s">
        <v>496</v>
      </c>
      <c r="E114">
        <v>0.27777777800000003</v>
      </c>
      <c r="F114" t="s">
        <v>975</v>
      </c>
    </row>
    <row r="115" spans="2:6">
      <c r="B115" t="s">
        <v>976</v>
      </c>
      <c r="C115" t="s">
        <v>484</v>
      </c>
      <c r="D115" t="s">
        <v>496</v>
      </c>
      <c r="E115">
        <v>2.9307106999999999E-2</v>
      </c>
      <c r="F115" t="s">
        <v>977</v>
      </c>
    </row>
    <row r="116" spans="2:6">
      <c r="B116" t="s">
        <v>978</v>
      </c>
      <c r="C116" t="s">
        <v>399</v>
      </c>
      <c r="D116" t="s">
        <v>484</v>
      </c>
      <c r="E116">
        <v>3.4121416351330758E-2</v>
      </c>
      <c r="F116" t="s">
        <v>979</v>
      </c>
    </row>
    <row r="117" spans="2:6">
      <c r="B117" t="s">
        <v>980</v>
      </c>
      <c r="C117" t="s">
        <v>496</v>
      </c>
      <c r="D117" t="s">
        <v>484</v>
      </c>
      <c r="E117">
        <v>34.121416351330758</v>
      </c>
      <c r="F117" t="s">
        <v>981</v>
      </c>
    </row>
    <row r="118" spans="2:6">
      <c r="B118" t="s">
        <v>982</v>
      </c>
      <c r="C118" t="s">
        <v>619</v>
      </c>
      <c r="D118" t="s">
        <v>484</v>
      </c>
      <c r="E118">
        <v>1.0000000000000001E-5</v>
      </c>
      <c r="F118" t="s">
        <v>983</v>
      </c>
    </row>
    <row r="119" spans="2:6">
      <c r="B119" t="s">
        <v>984</v>
      </c>
      <c r="C119" t="s">
        <v>464</v>
      </c>
      <c r="D119" t="s">
        <v>484</v>
      </c>
      <c r="E119">
        <v>10</v>
      </c>
      <c r="F119" t="s">
        <v>985</v>
      </c>
    </row>
    <row r="120" spans="2:6">
      <c r="B120" t="s">
        <v>986</v>
      </c>
      <c r="C120" t="s">
        <v>471</v>
      </c>
      <c r="D120" t="s">
        <v>484</v>
      </c>
      <c r="E120">
        <v>9.4781711999999997E-3</v>
      </c>
      <c r="F120" t="s">
        <v>987</v>
      </c>
    </row>
    <row r="121" spans="2:6">
      <c r="B121" t="s">
        <v>988</v>
      </c>
      <c r="C121" t="s">
        <v>448</v>
      </c>
      <c r="D121" t="s">
        <v>484</v>
      </c>
      <c r="E121">
        <v>9.4781712000000002</v>
      </c>
      <c r="F121" t="s">
        <v>989</v>
      </c>
    </row>
    <row r="122" spans="2:6">
      <c r="B122" t="s">
        <v>990</v>
      </c>
      <c r="C122" t="s">
        <v>484</v>
      </c>
      <c r="D122" t="s">
        <v>484</v>
      </c>
      <c r="E122">
        <v>1</v>
      </c>
      <c r="F122" t="s">
        <v>991</v>
      </c>
    </row>
    <row r="123" spans="2:6">
      <c r="B123" t="s">
        <v>992</v>
      </c>
      <c r="C123" t="s">
        <v>464</v>
      </c>
      <c r="D123" t="s">
        <v>464</v>
      </c>
      <c r="E123">
        <v>1</v>
      </c>
      <c r="F123" t="s">
        <v>993</v>
      </c>
    </row>
    <row r="124" spans="2:6">
      <c r="B124" t="s">
        <v>994</v>
      </c>
      <c r="C124" t="s">
        <v>399</v>
      </c>
      <c r="D124" t="s">
        <v>399</v>
      </c>
      <c r="E124">
        <v>1</v>
      </c>
      <c r="F124" t="s">
        <v>995</v>
      </c>
    </row>
    <row r="125" spans="2:6">
      <c r="B125" t="s">
        <v>996</v>
      </c>
      <c r="C125" t="s">
        <v>448</v>
      </c>
      <c r="D125" t="s">
        <v>448</v>
      </c>
      <c r="E125">
        <v>1</v>
      </c>
      <c r="F125" t="s">
        <v>997</v>
      </c>
    </row>
    <row r="126" spans="2:6">
      <c r="B126" t="s">
        <v>998</v>
      </c>
      <c r="C126" t="s">
        <v>471</v>
      </c>
      <c r="D126" t="s">
        <v>471</v>
      </c>
      <c r="E126">
        <v>1</v>
      </c>
      <c r="F126" t="s">
        <v>999</v>
      </c>
    </row>
    <row r="127" spans="2:6">
      <c r="B127" t="s">
        <v>1000</v>
      </c>
      <c r="C127" t="s">
        <v>464</v>
      </c>
      <c r="D127" t="s">
        <v>440</v>
      </c>
      <c r="E127">
        <v>1000000</v>
      </c>
      <c r="F127" t="s">
        <v>1001</v>
      </c>
    </row>
    <row r="128" spans="2:6">
      <c r="B128" t="s">
        <v>430</v>
      </c>
    </row>
    <row r="129" spans="2:6">
      <c r="B129" t="s">
        <v>866</v>
      </c>
      <c r="C129" t="s">
        <v>867</v>
      </c>
      <c r="D129" t="s">
        <v>868</v>
      </c>
      <c r="E129" t="s">
        <v>869</v>
      </c>
      <c r="F129" t="s">
        <v>404</v>
      </c>
    </row>
    <row r="130" spans="2:6">
      <c r="B130" t="s">
        <v>1002</v>
      </c>
      <c r="C130" t="s">
        <v>465</v>
      </c>
      <c r="D130" t="s">
        <v>485</v>
      </c>
      <c r="E130">
        <v>1.6093440000000001</v>
      </c>
      <c r="F130" t="s">
        <v>1003</v>
      </c>
    </row>
    <row r="131" spans="2:6">
      <c r="B131" t="s">
        <v>1004</v>
      </c>
      <c r="C131" t="s">
        <v>584</v>
      </c>
      <c r="D131" t="s">
        <v>465</v>
      </c>
      <c r="E131">
        <v>1.150779</v>
      </c>
      <c r="F131" t="s">
        <v>1005</v>
      </c>
    </row>
    <row r="132" spans="2:6">
      <c r="B132" t="s">
        <v>1006</v>
      </c>
      <c r="C132" t="s">
        <v>485</v>
      </c>
      <c r="D132" t="s">
        <v>465</v>
      </c>
      <c r="E132">
        <v>0.62137119200000002</v>
      </c>
      <c r="F132" t="s">
        <v>1007</v>
      </c>
    </row>
    <row r="133" spans="2:6">
      <c r="B133" t="s">
        <v>1008</v>
      </c>
      <c r="C133" t="s">
        <v>465</v>
      </c>
      <c r="D133" t="s">
        <v>494</v>
      </c>
      <c r="E133">
        <v>1</v>
      </c>
      <c r="F133" t="s">
        <v>1009</v>
      </c>
    </row>
    <row r="134" spans="2:6">
      <c r="B134" t="s">
        <v>1010</v>
      </c>
      <c r="C134" t="s">
        <v>485</v>
      </c>
      <c r="D134" t="s">
        <v>494</v>
      </c>
      <c r="E134">
        <v>0.62137119200000002</v>
      </c>
      <c r="F134" t="s">
        <v>1011</v>
      </c>
    </row>
    <row r="135" spans="2:6">
      <c r="B135" t="s">
        <v>1012</v>
      </c>
      <c r="C135" t="s">
        <v>465</v>
      </c>
      <c r="D135" t="s">
        <v>512</v>
      </c>
      <c r="E135">
        <v>1</v>
      </c>
      <c r="F135" t="s">
        <v>1013</v>
      </c>
    </row>
    <row r="136" spans="2:6">
      <c r="B136" t="s">
        <v>1014</v>
      </c>
      <c r="C136" t="s">
        <v>485</v>
      </c>
      <c r="D136" t="s">
        <v>512</v>
      </c>
      <c r="E136">
        <v>0.62137119200000002</v>
      </c>
      <c r="F136" t="s">
        <v>1015</v>
      </c>
    </row>
    <row r="137" spans="2:6">
      <c r="B137" t="s">
        <v>1016</v>
      </c>
      <c r="C137" t="s">
        <v>503</v>
      </c>
      <c r="D137" t="s">
        <v>494</v>
      </c>
      <c r="E137">
        <v>0.62137119200000002</v>
      </c>
      <c r="F137" t="s">
        <v>1015</v>
      </c>
    </row>
    <row r="138" spans="2:6">
      <c r="B138" t="s">
        <v>1017</v>
      </c>
      <c r="C138" t="s">
        <v>521</v>
      </c>
      <c r="D138" t="s">
        <v>512</v>
      </c>
      <c r="E138">
        <v>0.62137119200000002</v>
      </c>
      <c r="F138" t="s">
        <v>1015</v>
      </c>
    </row>
    <row r="139" spans="2:6">
      <c r="B139" t="s">
        <v>1018</v>
      </c>
      <c r="C139" t="s">
        <v>494</v>
      </c>
      <c r="D139" t="s">
        <v>503</v>
      </c>
      <c r="E139">
        <v>1.6093440000000001</v>
      </c>
      <c r="F139" t="s">
        <v>1019</v>
      </c>
    </row>
    <row r="140" spans="2:6">
      <c r="B140" t="s">
        <v>1020</v>
      </c>
      <c r="C140" t="s">
        <v>512</v>
      </c>
      <c r="D140" t="s">
        <v>521</v>
      </c>
      <c r="E140">
        <v>1.6093440000000001</v>
      </c>
      <c r="F140" t="s">
        <v>1019</v>
      </c>
    </row>
    <row r="141" spans="2:6">
      <c r="B141" t="s">
        <v>1021</v>
      </c>
      <c r="C141" t="s">
        <v>494</v>
      </c>
      <c r="D141" t="s">
        <v>465</v>
      </c>
      <c r="E141">
        <v>1</v>
      </c>
      <c r="F141" t="s">
        <v>1022</v>
      </c>
    </row>
    <row r="142" spans="2:6">
      <c r="B142" t="s">
        <v>1023</v>
      </c>
      <c r="C142" t="s">
        <v>503</v>
      </c>
      <c r="D142" t="s">
        <v>465</v>
      </c>
      <c r="E142">
        <v>0.62137119200000002</v>
      </c>
      <c r="F142" t="s">
        <v>1024</v>
      </c>
    </row>
    <row r="143" spans="2:6">
      <c r="B143" t="s">
        <v>1025</v>
      </c>
      <c r="C143" t="s">
        <v>465</v>
      </c>
      <c r="D143" t="s">
        <v>521</v>
      </c>
      <c r="E143">
        <v>1.6093440000000001</v>
      </c>
      <c r="F143" t="s">
        <v>1019</v>
      </c>
    </row>
    <row r="144" spans="2:6">
      <c r="B144" t="s">
        <v>1026</v>
      </c>
      <c r="C144" t="s">
        <v>494</v>
      </c>
      <c r="D144" t="s">
        <v>485</v>
      </c>
      <c r="E144">
        <v>1.6093440000000001</v>
      </c>
      <c r="F144" t="s">
        <v>1027</v>
      </c>
    </row>
    <row r="145" spans="2:6">
      <c r="B145" t="s">
        <v>1028</v>
      </c>
      <c r="C145" t="s">
        <v>528</v>
      </c>
      <c r="D145" t="s">
        <v>536</v>
      </c>
      <c r="E145">
        <v>1.459972</v>
      </c>
      <c r="F145" t="s">
        <v>1029</v>
      </c>
    </row>
    <row r="146" spans="2:6">
      <c r="B146" t="s">
        <v>1030</v>
      </c>
      <c r="C146" t="s">
        <v>536</v>
      </c>
      <c r="D146" t="s">
        <v>528</v>
      </c>
      <c r="E146">
        <v>0.68494464277397094</v>
      </c>
      <c r="F146" t="s">
        <v>1029</v>
      </c>
    </row>
    <row r="147" spans="2:6">
      <c r="B147" t="s">
        <v>1031</v>
      </c>
      <c r="C147" t="s">
        <v>433</v>
      </c>
      <c r="D147" t="s">
        <v>499</v>
      </c>
      <c r="E147">
        <v>1.3368055556483892E-3</v>
      </c>
    </row>
    <row r="148" spans="2:6">
      <c r="B148" t="s">
        <v>1032</v>
      </c>
      <c r="C148" t="s">
        <v>491</v>
      </c>
      <c r="D148" t="s">
        <v>499</v>
      </c>
      <c r="E148">
        <v>0.01</v>
      </c>
    </row>
    <row r="149" spans="2:6">
      <c r="B149" t="s">
        <v>1033</v>
      </c>
      <c r="C149" t="s">
        <v>399</v>
      </c>
      <c r="D149" t="s">
        <v>471</v>
      </c>
      <c r="E149">
        <v>3.6</v>
      </c>
      <c r="F149" t="s">
        <v>1034</v>
      </c>
    </row>
    <row r="150" spans="2:6">
      <c r="B150" t="s">
        <v>1035</v>
      </c>
      <c r="C150" t="s">
        <v>399</v>
      </c>
      <c r="D150" t="s">
        <v>448</v>
      </c>
      <c r="E150">
        <v>3.5999999999999999E-3</v>
      </c>
      <c r="F150" t="s">
        <v>1036</v>
      </c>
    </row>
    <row r="151" spans="2:6">
      <c r="B151" t="s">
        <v>1037</v>
      </c>
      <c r="C151" t="s">
        <v>1038</v>
      </c>
      <c r="D151" t="s">
        <v>1039</v>
      </c>
      <c r="E151">
        <v>4.5359237000000004E-4</v>
      </c>
    </row>
    <row r="152" spans="2:6">
      <c r="B152" t="s">
        <v>1040</v>
      </c>
      <c r="C152" t="s">
        <v>464</v>
      </c>
      <c r="D152" t="s">
        <v>471</v>
      </c>
      <c r="E152">
        <f>1/E95</f>
        <v>1000</v>
      </c>
      <c r="F152" t="s">
        <v>1041</v>
      </c>
    </row>
    <row r="153" spans="2:6">
      <c r="B153" t="s">
        <v>946</v>
      </c>
      <c r="C153" t="s">
        <v>440</v>
      </c>
      <c r="D153" t="s">
        <v>464</v>
      </c>
      <c r="E153">
        <v>9.9999999999999995E-7</v>
      </c>
      <c r="F153" t="s">
        <v>947</v>
      </c>
    </row>
    <row r="154" spans="2:6">
      <c r="B154" t="s">
        <v>1042</v>
      </c>
      <c r="C154" t="s">
        <v>484</v>
      </c>
      <c r="D154" t="s">
        <v>464</v>
      </c>
      <c r="E154">
        <v>0.1</v>
      </c>
      <c r="F154" t="s">
        <v>1043</v>
      </c>
    </row>
    <row r="155" spans="2:6">
      <c r="B155" t="s">
        <v>1044</v>
      </c>
      <c r="C155" t="s">
        <v>494</v>
      </c>
      <c r="D155" t="s">
        <v>512</v>
      </c>
      <c r="E155">
        <v>1</v>
      </c>
      <c r="F155" t="s">
        <v>1045</v>
      </c>
    </row>
    <row r="156" spans="2:6">
      <c r="B156" t="s">
        <v>1046</v>
      </c>
      <c r="C156" t="s">
        <v>512</v>
      </c>
      <c r="D156" t="s">
        <v>494</v>
      </c>
      <c r="E156">
        <v>1</v>
      </c>
      <c r="F156" t="s">
        <v>1047</v>
      </c>
    </row>
    <row r="157" spans="2:6">
      <c r="B157" t="s">
        <v>1048</v>
      </c>
      <c r="C157" t="s">
        <v>503</v>
      </c>
      <c r="D157" t="s">
        <v>521</v>
      </c>
      <c r="E157">
        <v>1</v>
      </c>
      <c r="F157" t="s">
        <v>1049</v>
      </c>
    </row>
    <row r="158" spans="2:6">
      <c r="B158" t="s">
        <v>1050</v>
      </c>
      <c r="C158" t="s">
        <v>521</v>
      </c>
      <c r="D158" t="s">
        <v>503</v>
      </c>
      <c r="E158">
        <v>1</v>
      </c>
      <c r="F158" t="s">
        <v>1051</v>
      </c>
    </row>
    <row r="159" spans="2:6">
      <c r="B159" t="s">
        <v>1052</v>
      </c>
      <c r="C159" t="s">
        <v>494</v>
      </c>
      <c r="D159" t="s">
        <v>521</v>
      </c>
      <c r="E159">
        <v>1.6093440000000001</v>
      </c>
      <c r="F159" t="s">
        <v>1053</v>
      </c>
    </row>
    <row r="160" spans="2:6">
      <c r="B160" t="s">
        <v>1054</v>
      </c>
      <c r="C160" t="s">
        <v>512</v>
      </c>
      <c r="D160" t="s">
        <v>503</v>
      </c>
      <c r="E160">
        <v>1.6093440000000001</v>
      </c>
      <c r="F160" t="s">
        <v>1055</v>
      </c>
    </row>
    <row r="161" spans="2:6">
      <c r="B161" t="s">
        <v>1056</v>
      </c>
      <c r="C161" t="s">
        <v>503</v>
      </c>
      <c r="D161" t="s">
        <v>512</v>
      </c>
      <c r="E161">
        <v>0.62137119200000002</v>
      </c>
      <c r="F161" t="s">
        <v>1057</v>
      </c>
    </row>
    <row r="162" spans="2:6">
      <c r="B162" t="s">
        <v>1058</v>
      </c>
      <c r="C162" t="s">
        <v>521</v>
      </c>
      <c r="D162" t="s">
        <v>494</v>
      </c>
      <c r="E162">
        <v>0.62137119200000002</v>
      </c>
      <c r="F162" t="s">
        <v>1059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9" tint="0.79998168889431442"/>
  </sheetPr>
  <dimension ref="A1:AH73"/>
  <sheetViews>
    <sheetView showGridLines="0" zoomScale="90" zoomScaleNormal="90" workbookViewId="0">
      <pane xSplit="1" ySplit="1" topLeftCell="B33" activePane="bottomRight" state="frozen"/>
      <selection activeCell="B5" sqref="B5"/>
      <selection pane="topRight" activeCell="B5" sqref="B5"/>
      <selection pane="bottomLeft" activeCell="B5" sqref="B5"/>
      <selection pane="bottomRight" activeCell="L66" sqref="L66"/>
    </sheetView>
  </sheetViews>
  <sheetFormatPr defaultColWidth="8.54296875" defaultRowHeight="15" customHeight="1"/>
  <cols>
    <col min="1" max="1" width="7.1796875" style="302" customWidth="1"/>
    <col min="2" max="4" width="9.54296875" style="302" customWidth="1"/>
    <col min="5" max="8" width="8.54296875" style="302" customWidth="1"/>
    <col min="9" max="13" width="8.54296875" style="302"/>
    <col min="14" max="14" width="9.54296875" style="302" customWidth="1"/>
    <col min="15" max="24" width="8.54296875" style="302"/>
    <col min="25" max="25" width="9.54296875" style="302" customWidth="1"/>
    <col min="26" max="16384" width="8.54296875" style="302"/>
  </cols>
  <sheetData>
    <row r="1" spans="1:24" s="293" customFormat="1" ht="21" customHeight="1">
      <c r="B1" s="291" t="s">
        <v>46</v>
      </c>
    </row>
    <row r="2" spans="1:24" s="293" customFormat="1" ht="15" customHeight="1">
      <c r="A2" s="295" t="s">
        <v>1</v>
      </c>
      <c r="B2" s="516" t="s">
        <v>2200</v>
      </c>
      <c r="C2" s="728"/>
      <c r="D2" s="728"/>
      <c r="E2" s="728"/>
      <c r="F2" s="728"/>
      <c r="G2" s="728"/>
      <c r="H2" s="728"/>
      <c r="I2" s="728"/>
      <c r="J2" s="728"/>
      <c r="K2" s="728"/>
      <c r="L2" s="728"/>
      <c r="M2" s="728"/>
      <c r="N2" s="728"/>
      <c r="O2" s="728"/>
      <c r="P2" s="728"/>
      <c r="Q2" s="728"/>
      <c r="R2" s="728"/>
      <c r="S2" s="728"/>
      <c r="T2" s="728"/>
      <c r="U2" s="728"/>
      <c r="V2" s="728"/>
      <c r="W2" s="728"/>
      <c r="X2" s="729"/>
    </row>
    <row r="3" spans="1:24" s="293" customFormat="1" ht="15" customHeight="1">
      <c r="B3" s="554" t="s">
        <v>47</v>
      </c>
      <c r="X3" s="730"/>
    </row>
    <row r="4" spans="1:24" s="293" customFormat="1" ht="15" customHeight="1">
      <c r="B4" s="519" t="s">
        <v>2134</v>
      </c>
      <c r="X4" s="730"/>
    </row>
    <row r="5" spans="1:24" s="293" customFormat="1" ht="16.5" customHeight="1">
      <c r="B5" s="519" t="s">
        <v>2201</v>
      </c>
      <c r="X5" s="730"/>
    </row>
    <row r="6" spans="1:24" s="293" customFormat="1" ht="16.5" customHeight="1">
      <c r="B6" s="519" t="s">
        <v>2202</v>
      </c>
      <c r="X6" s="730"/>
    </row>
    <row r="7" spans="1:24" s="293" customFormat="1" ht="15" customHeight="1">
      <c r="B7" s="519" t="s">
        <v>2142</v>
      </c>
      <c r="X7" s="730"/>
    </row>
    <row r="8" spans="1:24" s="293" customFormat="1" ht="15" customHeight="1">
      <c r="B8" s="519" t="s">
        <v>1688</v>
      </c>
      <c r="X8" s="730"/>
    </row>
    <row r="9" spans="1:24" s="293" customFormat="1" ht="15" customHeight="1">
      <c r="B9" s="519" t="s">
        <v>1689</v>
      </c>
      <c r="X9" s="730"/>
    </row>
    <row r="10" spans="1:24" s="293" customFormat="1" ht="15" customHeight="1">
      <c r="B10" s="519" t="s">
        <v>2135</v>
      </c>
      <c r="X10" s="730"/>
    </row>
    <row r="11" spans="1:24" s="293" customFormat="1" ht="15" customHeight="1">
      <c r="B11" s="519" t="s">
        <v>2203</v>
      </c>
      <c r="X11" s="730"/>
    </row>
    <row r="12" spans="1:24" s="293" customFormat="1" ht="15" customHeight="1">
      <c r="B12" s="519" t="s">
        <v>1690</v>
      </c>
      <c r="X12" s="730"/>
    </row>
    <row r="13" spans="1:24" s="293" customFormat="1" ht="15" customHeight="1">
      <c r="B13" s="519" t="s">
        <v>2136</v>
      </c>
      <c r="X13" s="730"/>
    </row>
    <row r="14" spans="1:24" s="293" customFormat="1" ht="15" customHeight="1">
      <c r="B14" s="519" t="s">
        <v>1681</v>
      </c>
      <c r="X14" s="730"/>
    </row>
    <row r="15" spans="1:24" s="293" customFormat="1" ht="13.5" customHeight="1">
      <c r="B15" s="523" t="s">
        <v>2204</v>
      </c>
      <c r="C15" s="566"/>
      <c r="D15" s="566"/>
      <c r="E15" s="566"/>
      <c r="F15" s="566"/>
      <c r="G15" s="566"/>
      <c r="H15" s="566"/>
      <c r="I15" s="566"/>
      <c r="J15" s="566"/>
      <c r="K15" s="566"/>
      <c r="L15" s="566"/>
      <c r="M15" s="566"/>
      <c r="N15" s="566"/>
      <c r="O15" s="566"/>
      <c r="P15" s="566"/>
      <c r="Q15" s="566"/>
      <c r="R15" s="566"/>
      <c r="S15" s="566"/>
      <c r="T15" s="566"/>
      <c r="U15" s="566"/>
      <c r="V15" s="566"/>
      <c r="W15" s="566"/>
      <c r="X15" s="731"/>
    </row>
    <row r="16" spans="1:24" s="297" customFormat="1" ht="15" customHeight="1">
      <c r="A16" s="302"/>
      <c r="B16" s="302"/>
    </row>
    <row r="17" spans="2:11" s="297" customFormat="1" ht="15" customHeight="1">
      <c r="B17" s="320" t="s">
        <v>48</v>
      </c>
      <c r="C17" s="321"/>
      <c r="D17" s="321"/>
      <c r="E17" s="321"/>
      <c r="F17" s="321"/>
      <c r="G17" s="321"/>
      <c r="H17" s="321"/>
      <c r="I17" s="322"/>
    </row>
    <row r="18" spans="2:11" s="297" customFormat="1" ht="15" customHeight="1">
      <c r="B18" s="898"/>
      <c r="C18" s="899"/>
      <c r="D18" s="899"/>
      <c r="E18" s="899"/>
      <c r="F18" s="899"/>
      <c r="G18" s="899"/>
      <c r="H18" s="899"/>
      <c r="I18" s="903"/>
    </row>
    <row r="19" spans="2:11" s="297" customFormat="1" ht="15" customHeight="1">
      <c r="B19" s="732"/>
      <c r="C19" s="732"/>
      <c r="D19" s="732"/>
      <c r="E19" s="732"/>
    </row>
    <row r="20" spans="2:11" s="297" customFormat="1" ht="15" customHeight="1"/>
    <row r="21" spans="2:11" s="297" customFormat="1" ht="15" customHeight="1">
      <c r="B21" s="704" t="s">
        <v>49</v>
      </c>
      <c r="C21" s="320"/>
      <c r="D21" s="321"/>
      <c r="E21" s="321"/>
      <c r="F21" s="322"/>
    </row>
    <row r="22" spans="2:11" ht="15" customHeight="1">
      <c r="B22" s="733" t="s">
        <v>50</v>
      </c>
      <c r="C22" s="895" t="s">
        <v>51</v>
      </c>
      <c r="D22" s="896"/>
      <c r="E22" s="896"/>
      <c r="F22" s="897"/>
      <c r="G22" s="297"/>
      <c r="H22" s="297"/>
      <c r="I22" s="297"/>
      <c r="K22" s="734" t="s">
        <v>52</v>
      </c>
    </row>
    <row r="23" spans="2:11" ht="15" customHeight="1">
      <c r="B23" s="735">
        <v>2021</v>
      </c>
      <c r="C23" s="905"/>
      <c r="D23" s="906"/>
      <c r="E23" s="906"/>
      <c r="F23" s="907"/>
      <c r="G23" s="297"/>
      <c r="H23" s="297"/>
      <c r="I23" s="297"/>
      <c r="K23" s="734">
        <f>H23-G23+1</f>
        <v>1</v>
      </c>
    </row>
    <row r="24" spans="2:11" ht="15" customHeight="1">
      <c r="B24" s="735">
        <v>2022</v>
      </c>
      <c r="C24" s="905"/>
      <c r="D24" s="906"/>
      <c r="E24" s="906"/>
      <c r="F24" s="907"/>
      <c r="G24" s="297"/>
      <c r="H24" s="297"/>
      <c r="I24" s="297"/>
      <c r="K24" s="734">
        <f>H24-G24+1</f>
        <v>1</v>
      </c>
    </row>
    <row r="25" spans="2:11" ht="15" customHeight="1">
      <c r="B25" s="735">
        <v>2023</v>
      </c>
      <c r="C25" s="905"/>
      <c r="D25" s="906"/>
      <c r="E25" s="906"/>
      <c r="F25" s="907"/>
      <c r="G25" s="297"/>
      <c r="H25" s="297"/>
      <c r="I25" s="297"/>
      <c r="K25" s="734">
        <f>H25-G25+1</f>
        <v>1</v>
      </c>
    </row>
    <row r="26" spans="2:11" ht="15" customHeight="1">
      <c r="B26" s="735"/>
      <c r="C26" s="905"/>
      <c r="D26" s="906"/>
      <c r="E26" s="906"/>
      <c r="F26" s="907"/>
      <c r="G26" s="297"/>
      <c r="H26" s="297"/>
      <c r="I26" s="297"/>
      <c r="K26" s="734">
        <f>H26-G26+1</f>
        <v>1</v>
      </c>
    </row>
    <row r="27" spans="2:11" ht="15" customHeight="1">
      <c r="B27" s="735"/>
      <c r="C27" s="905"/>
      <c r="D27" s="906"/>
      <c r="E27" s="906"/>
      <c r="F27" s="907"/>
      <c r="G27" s="297"/>
      <c r="H27" s="297"/>
      <c r="I27" s="297"/>
      <c r="J27" s="726"/>
      <c r="K27" s="734">
        <f>H27-G27+1</f>
        <v>1</v>
      </c>
    </row>
    <row r="28" spans="2:11" ht="15" customHeight="1">
      <c r="B28" s="736"/>
      <c r="C28" s="737"/>
      <c r="D28" s="737"/>
      <c r="E28" s="736"/>
      <c r="G28" s="297"/>
      <c r="H28" s="297"/>
      <c r="I28" s="297"/>
      <c r="J28" s="726"/>
      <c r="K28" s="734"/>
    </row>
    <row r="29" spans="2:11" ht="15" customHeight="1">
      <c r="D29" s="297"/>
      <c r="E29" s="297"/>
      <c r="F29" s="297"/>
      <c r="G29" s="297"/>
      <c r="H29" s="297"/>
      <c r="I29" s="297"/>
      <c r="J29" s="726"/>
      <c r="K29" s="734"/>
    </row>
    <row r="30" spans="2:11" ht="15" customHeight="1">
      <c r="B30" s="320" t="s">
        <v>53</v>
      </c>
      <c r="C30" s="321"/>
      <c r="D30" s="321"/>
      <c r="E30" s="321"/>
      <c r="F30" s="322"/>
      <c r="G30" s="297"/>
      <c r="H30" s="297"/>
      <c r="I30" s="297"/>
      <c r="J30" s="726"/>
      <c r="K30" s="734"/>
    </row>
    <row r="31" spans="2:11" ht="15" customHeight="1">
      <c r="B31" s="904" t="s">
        <v>50</v>
      </c>
      <c r="C31" s="908" t="s">
        <v>54</v>
      </c>
      <c r="D31" s="909"/>
      <c r="E31" s="908" t="s">
        <v>1814</v>
      </c>
      <c r="F31" s="909"/>
      <c r="G31" s="297"/>
      <c r="H31" s="726"/>
      <c r="I31" s="734"/>
    </row>
    <row r="32" spans="2:11" ht="15" customHeight="1">
      <c r="B32" s="904"/>
      <c r="C32" s="910"/>
      <c r="D32" s="911"/>
      <c r="E32" s="910"/>
      <c r="F32" s="911"/>
      <c r="G32" s="297"/>
      <c r="H32" s="726"/>
      <c r="I32" s="734"/>
    </row>
    <row r="33" spans="2:34" ht="15" customHeight="1">
      <c r="B33" s="738">
        <v>2021</v>
      </c>
      <c r="C33" s="912"/>
      <c r="D33" s="913"/>
      <c r="E33" s="905"/>
      <c r="F33" s="907"/>
      <c r="G33" s="297"/>
      <c r="H33" s="726"/>
      <c r="I33" s="734"/>
    </row>
    <row r="34" spans="2:34" ht="15" customHeight="1">
      <c r="B34" s="738">
        <v>2022</v>
      </c>
      <c r="C34" s="912"/>
      <c r="D34" s="913"/>
      <c r="E34" s="905"/>
      <c r="F34" s="907"/>
      <c r="G34" s="297"/>
      <c r="H34" s="726"/>
      <c r="I34" s="734"/>
    </row>
    <row r="35" spans="2:34" ht="15" customHeight="1">
      <c r="B35" s="738">
        <v>2023</v>
      </c>
      <c r="C35" s="912"/>
      <c r="D35" s="913"/>
      <c r="E35" s="905"/>
      <c r="F35" s="907"/>
      <c r="G35" s="297"/>
      <c r="H35" s="726"/>
      <c r="I35" s="734"/>
    </row>
    <row r="36" spans="2:34" ht="15" customHeight="1">
      <c r="B36" s="738"/>
      <c r="C36" s="912"/>
      <c r="D36" s="913"/>
      <c r="E36" s="905"/>
      <c r="F36" s="907"/>
      <c r="G36" s="297"/>
      <c r="H36" s="726"/>
      <c r="I36" s="734"/>
    </row>
    <row r="37" spans="2:34" ht="15" customHeight="1">
      <c r="B37" s="738"/>
      <c r="C37" s="912"/>
      <c r="D37" s="913"/>
      <c r="E37" s="905"/>
      <c r="F37" s="907"/>
      <c r="G37" s="297"/>
      <c r="H37" s="726"/>
      <c r="I37" s="734"/>
    </row>
    <row r="38" spans="2:34" ht="15" customHeight="1">
      <c r="D38" s="297"/>
      <c r="E38" s="297"/>
      <c r="F38" s="297"/>
      <c r="G38" s="297"/>
      <c r="H38" s="297"/>
      <c r="I38" s="297"/>
      <c r="J38" s="726"/>
      <c r="K38" s="734"/>
    </row>
    <row r="39" spans="2:34" ht="15" customHeight="1" thickBot="1">
      <c r="D39" s="297"/>
      <c r="E39" s="297"/>
      <c r="F39" s="297"/>
      <c r="G39" s="297"/>
      <c r="H39" s="297"/>
      <c r="I39" s="297"/>
      <c r="J39" s="726"/>
      <c r="K39" s="734"/>
    </row>
    <row r="40" spans="2:34" ht="15" customHeight="1" thickTop="1" thickBot="1">
      <c r="B40" s="502" t="s">
        <v>55</v>
      </c>
      <c r="C40" s="526">
        <f>Organisatsioon!B23</f>
        <v>2021</v>
      </c>
      <c r="D40" s="297"/>
      <c r="E40" s="297"/>
      <c r="F40" s="297"/>
      <c r="G40" s="297"/>
      <c r="H40" s="297"/>
      <c r="I40" s="297"/>
      <c r="J40" s="726"/>
      <c r="K40" s="734"/>
      <c r="N40" s="502" t="s">
        <v>55</v>
      </c>
      <c r="O40" s="526">
        <f>Organisatsioon!B24</f>
        <v>2022</v>
      </c>
      <c r="P40" s="297"/>
      <c r="Q40" s="297"/>
      <c r="R40" s="297"/>
      <c r="S40" s="297"/>
      <c r="T40" s="297"/>
      <c r="U40" s="297"/>
      <c r="V40" s="726"/>
      <c r="W40" s="734"/>
      <c r="Y40" s="502" t="s">
        <v>55</v>
      </c>
      <c r="Z40" s="526">
        <f>Organisatsioon!B25</f>
        <v>2023</v>
      </c>
      <c r="AA40" s="297"/>
      <c r="AB40" s="297"/>
      <c r="AC40" s="297"/>
      <c r="AD40" s="297"/>
      <c r="AE40" s="297"/>
      <c r="AF40" s="297"/>
      <c r="AG40" s="726"/>
      <c r="AH40" s="734"/>
    </row>
    <row r="41" spans="2:34" s="297" customFormat="1" ht="15" customHeight="1" thickTop="1">
      <c r="B41" s="321" t="s">
        <v>56</v>
      </c>
      <c r="C41" s="321"/>
      <c r="D41" s="321"/>
      <c r="E41" s="321"/>
      <c r="F41" s="321"/>
      <c r="G41" s="543"/>
      <c r="H41" s="543"/>
      <c r="I41" s="543"/>
      <c r="J41" s="543"/>
      <c r="K41" s="544"/>
      <c r="N41" s="321" t="s">
        <v>56</v>
      </c>
      <c r="O41" s="321"/>
      <c r="P41" s="321"/>
      <c r="Q41" s="321"/>
      <c r="R41" s="321"/>
      <c r="S41" s="543"/>
      <c r="T41" s="543"/>
      <c r="U41" s="543"/>
      <c r="V41" s="543"/>
      <c r="W41" s="544"/>
      <c r="Y41" s="321" t="s">
        <v>56</v>
      </c>
      <c r="Z41" s="321"/>
      <c r="AA41" s="321"/>
      <c r="AB41" s="321"/>
      <c r="AC41" s="321"/>
      <c r="AD41" s="543"/>
      <c r="AE41" s="543"/>
      <c r="AF41" s="543"/>
      <c r="AG41" s="543"/>
      <c r="AH41" s="544"/>
    </row>
    <row r="42" spans="2:34" ht="15" customHeight="1">
      <c r="B42" s="504" t="s">
        <v>57</v>
      </c>
      <c r="C42" s="895" t="s">
        <v>58</v>
      </c>
      <c r="D42" s="896"/>
      <c r="E42" s="896"/>
      <c r="F42" s="897"/>
      <c r="G42" s="895" t="s">
        <v>59</v>
      </c>
      <c r="H42" s="896"/>
      <c r="I42" s="896"/>
      <c r="J42" s="896"/>
      <c r="K42" s="897"/>
      <c r="M42" s="297"/>
      <c r="N42" s="504" t="s">
        <v>57</v>
      </c>
      <c r="O42" s="895" t="s">
        <v>58</v>
      </c>
      <c r="P42" s="896"/>
      <c r="Q42" s="896"/>
      <c r="R42" s="897"/>
      <c r="S42" s="895" t="s">
        <v>59</v>
      </c>
      <c r="T42" s="896"/>
      <c r="U42" s="896"/>
      <c r="V42" s="896"/>
      <c r="W42" s="897"/>
      <c r="Y42" s="504" t="s">
        <v>57</v>
      </c>
      <c r="Z42" s="895" t="s">
        <v>58</v>
      </c>
      <c r="AA42" s="896"/>
      <c r="AB42" s="896"/>
      <c r="AC42" s="897"/>
      <c r="AD42" s="895" t="s">
        <v>59</v>
      </c>
      <c r="AE42" s="896"/>
      <c r="AF42" s="896"/>
      <c r="AG42" s="896"/>
      <c r="AH42" s="897"/>
    </row>
    <row r="43" spans="2:34" ht="15" customHeight="1">
      <c r="B43" s="599">
        <v>1</v>
      </c>
      <c r="C43" s="898"/>
      <c r="D43" s="899"/>
      <c r="E43" s="899"/>
      <c r="F43" s="899"/>
      <c r="G43" s="739"/>
      <c r="H43" s="740"/>
      <c r="I43" s="741"/>
      <c r="J43" s="741"/>
      <c r="K43" s="742"/>
      <c r="M43" s="297"/>
      <c r="N43" s="599">
        <v>1</v>
      </c>
      <c r="O43" s="898"/>
      <c r="P43" s="899"/>
      <c r="Q43" s="899"/>
      <c r="R43" s="899"/>
      <c r="S43" s="739"/>
      <c r="T43" s="740"/>
      <c r="U43" s="741"/>
      <c r="V43" s="741"/>
      <c r="W43" s="742"/>
      <c r="Y43" s="599">
        <v>1</v>
      </c>
      <c r="Z43" s="898"/>
      <c r="AA43" s="899"/>
      <c r="AB43" s="899"/>
      <c r="AC43" s="899"/>
      <c r="AD43" s="739"/>
      <c r="AE43" s="740"/>
      <c r="AF43" s="741"/>
      <c r="AG43" s="741"/>
      <c r="AH43" s="742"/>
    </row>
    <row r="44" spans="2:34" ht="15" customHeight="1">
      <c r="B44" s="599">
        <v>2</v>
      </c>
      <c r="C44" s="898"/>
      <c r="D44" s="899"/>
      <c r="E44" s="899"/>
      <c r="F44" s="899"/>
      <c r="G44" s="743"/>
      <c r="H44" s="744"/>
      <c r="I44" s="745"/>
      <c r="J44" s="745"/>
      <c r="K44" s="326"/>
      <c r="M44" s="297"/>
      <c r="N44" s="599">
        <v>2</v>
      </c>
      <c r="O44" s="898"/>
      <c r="P44" s="899"/>
      <c r="Q44" s="899"/>
      <c r="R44" s="899"/>
      <c r="S44" s="743"/>
      <c r="T44" s="744"/>
      <c r="U44" s="745"/>
      <c r="V44" s="745"/>
      <c r="W44" s="326"/>
      <c r="Y44" s="599">
        <v>2</v>
      </c>
      <c r="Z44" s="898"/>
      <c r="AA44" s="899"/>
      <c r="AB44" s="899"/>
      <c r="AC44" s="899"/>
      <c r="AD44" s="743"/>
      <c r="AE44" s="744"/>
      <c r="AF44" s="745"/>
      <c r="AG44" s="745"/>
      <c r="AH44" s="326"/>
    </row>
    <row r="45" spans="2:34" ht="15" customHeight="1">
      <c r="B45" s="599"/>
      <c r="C45" s="898"/>
      <c r="D45" s="899"/>
      <c r="E45" s="899"/>
      <c r="F45" s="899"/>
      <c r="G45" s="743"/>
      <c r="H45" s="744"/>
      <c r="I45" s="745"/>
      <c r="J45" s="745"/>
      <c r="K45" s="326"/>
      <c r="M45" s="297"/>
      <c r="N45" s="599"/>
      <c r="O45" s="898"/>
      <c r="P45" s="899"/>
      <c r="Q45" s="899"/>
      <c r="R45" s="899"/>
      <c r="S45" s="743"/>
      <c r="T45" s="744"/>
      <c r="U45" s="745"/>
      <c r="V45" s="745"/>
      <c r="W45" s="326"/>
      <c r="Y45" s="599"/>
      <c r="Z45" s="898"/>
      <c r="AA45" s="899"/>
      <c r="AB45" s="899"/>
      <c r="AC45" s="899"/>
      <c r="AD45" s="743"/>
      <c r="AE45" s="744"/>
      <c r="AF45" s="745"/>
      <c r="AG45" s="745"/>
      <c r="AH45" s="326"/>
    </row>
    <row r="46" spans="2:34" ht="15" customHeight="1">
      <c r="B46" s="599"/>
      <c r="C46" s="898"/>
      <c r="D46" s="899"/>
      <c r="E46" s="899"/>
      <c r="F46" s="899"/>
      <c r="G46" s="743"/>
      <c r="H46" s="744"/>
      <c r="I46" s="745"/>
      <c r="J46" s="745"/>
      <c r="K46" s="326"/>
      <c r="M46" s="297"/>
      <c r="N46" s="599"/>
      <c r="O46" s="898"/>
      <c r="P46" s="899"/>
      <c r="Q46" s="899"/>
      <c r="R46" s="899"/>
      <c r="S46" s="743"/>
      <c r="T46" s="744"/>
      <c r="U46" s="745"/>
      <c r="V46" s="745"/>
      <c r="W46" s="326"/>
      <c r="Y46" s="599"/>
      <c r="Z46" s="898"/>
      <c r="AA46" s="899"/>
      <c r="AB46" s="899"/>
      <c r="AC46" s="899"/>
      <c r="AD46" s="743"/>
      <c r="AE46" s="744"/>
      <c r="AF46" s="745"/>
      <c r="AG46" s="745"/>
      <c r="AH46" s="326"/>
    </row>
    <row r="47" spans="2:34" ht="15" customHeight="1">
      <c r="B47" s="599"/>
      <c r="C47" s="898"/>
      <c r="D47" s="899"/>
      <c r="E47" s="899"/>
      <c r="F47" s="899"/>
      <c r="G47" s="743"/>
      <c r="H47" s="744"/>
      <c r="I47" s="745"/>
      <c r="J47" s="745"/>
      <c r="K47" s="326"/>
      <c r="M47" s="297"/>
      <c r="N47" s="599"/>
      <c r="O47" s="898"/>
      <c r="P47" s="899"/>
      <c r="Q47" s="899"/>
      <c r="R47" s="899"/>
      <c r="S47" s="743"/>
      <c r="T47" s="744"/>
      <c r="U47" s="745"/>
      <c r="V47" s="745"/>
      <c r="W47" s="326"/>
      <c r="Y47" s="599"/>
      <c r="Z47" s="898"/>
      <c r="AA47" s="899"/>
      <c r="AB47" s="899"/>
      <c r="AC47" s="899"/>
      <c r="AD47" s="743"/>
      <c r="AE47" s="744"/>
      <c r="AF47" s="745"/>
      <c r="AG47" s="745"/>
      <c r="AH47" s="326"/>
    </row>
    <row r="48" spans="2:34" ht="15" customHeight="1">
      <c r="B48" s="599"/>
      <c r="C48" s="898"/>
      <c r="D48" s="899"/>
      <c r="E48" s="899"/>
      <c r="F48" s="899"/>
      <c r="G48" s="743"/>
      <c r="H48" s="744"/>
      <c r="I48" s="745"/>
      <c r="J48" s="745"/>
      <c r="K48" s="326"/>
      <c r="M48" s="297"/>
      <c r="N48" s="599"/>
      <c r="O48" s="898"/>
      <c r="P48" s="899"/>
      <c r="Q48" s="899"/>
      <c r="R48" s="899"/>
      <c r="S48" s="743"/>
      <c r="T48" s="744"/>
      <c r="U48" s="745"/>
      <c r="V48" s="745"/>
      <c r="W48" s="326"/>
      <c r="Y48" s="599"/>
      <c r="Z48" s="898"/>
      <c r="AA48" s="899"/>
      <c r="AB48" s="899"/>
      <c r="AC48" s="899"/>
      <c r="AD48" s="743"/>
      <c r="AE48" s="744"/>
      <c r="AF48" s="745"/>
      <c r="AG48" s="745"/>
      <c r="AH48" s="326"/>
    </row>
    <row r="49" spans="2:34" ht="15" customHeight="1">
      <c r="B49" s="599"/>
      <c r="C49" s="898"/>
      <c r="D49" s="899"/>
      <c r="E49" s="899"/>
      <c r="F49" s="899"/>
      <c r="G49" s="743"/>
      <c r="H49" s="744"/>
      <c r="I49" s="745"/>
      <c r="J49" s="745"/>
      <c r="K49" s="326"/>
      <c r="M49" s="297"/>
      <c r="N49" s="599"/>
      <c r="O49" s="898"/>
      <c r="P49" s="899"/>
      <c r="Q49" s="899"/>
      <c r="R49" s="899"/>
      <c r="S49" s="743"/>
      <c r="T49" s="744"/>
      <c r="U49" s="745"/>
      <c r="V49" s="745"/>
      <c r="W49" s="326"/>
      <c r="Y49" s="599"/>
      <c r="Z49" s="898"/>
      <c r="AA49" s="899"/>
      <c r="AB49" s="899"/>
      <c r="AC49" s="899"/>
      <c r="AD49" s="743"/>
      <c r="AE49" s="744"/>
      <c r="AF49" s="745"/>
      <c r="AG49" s="745"/>
      <c r="AH49" s="326"/>
    </row>
    <row r="50" spans="2:34" ht="15" customHeight="1">
      <c r="B50" s="599"/>
      <c r="C50" s="898"/>
      <c r="D50" s="899"/>
      <c r="E50" s="899"/>
      <c r="F50" s="899"/>
      <c r="G50" s="743"/>
      <c r="H50" s="744"/>
      <c r="I50" s="745"/>
      <c r="J50" s="745"/>
      <c r="K50" s="326"/>
      <c r="M50" s="297"/>
      <c r="N50" s="599"/>
      <c r="O50" s="898"/>
      <c r="P50" s="899"/>
      <c r="Q50" s="899"/>
      <c r="R50" s="899"/>
      <c r="S50" s="743"/>
      <c r="T50" s="744"/>
      <c r="U50" s="745"/>
      <c r="V50" s="745"/>
      <c r="W50" s="326"/>
      <c r="Y50" s="599"/>
      <c r="Z50" s="898"/>
      <c r="AA50" s="899"/>
      <c r="AB50" s="899"/>
      <c r="AC50" s="899"/>
      <c r="AD50" s="743"/>
      <c r="AE50" s="744"/>
      <c r="AF50" s="745"/>
      <c r="AG50" s="745"/>
      <c r="AH50" s="326"/>
    </row>
    <row r="51" spans="2:34" ht="15" customHeight="1">
      <c r="B51" s="599"/>
      <c r="C51" s="898"/>
      <c r="D51" s="899"/>
      <c r="E51" s="899"/>
      <c r="F51" s="899"/>
      <c r="G51" s="743"/>
      <c r="H51" s="744"/>
      <c r="I51" s="745"/>
      <c r="J51" s="745"/>
      <c r="K51" s="326"/>
      <c r="M51" s="297"/>
      <c r="N51" s="599"/>
      <c r="O51" s="898"/>
      <c r="P51" s="899"/>
      <c r="Q51" s="899"/>
      <c r="R51" s="899"/>
      <c r="S51" s="743"/>
      <c r="T51" s="744"/>
      <c r="U51" s="745"/>
      <c r="V51" s="745"/>
      <c r="W51" s="326"/>
      <c r="Y51" s="599"/>
      <c r="Z51" s="898"/>
      <c r="AA51" s="899"/>
      <c r="AB51" s="899"/>
      <c r="AC51" s="899"/>
      <c r="AD51" s="743"/>
      <c r="AE51" s="744"/>
      <c r="AF51" s="745"/>
      <c r="AG51" s="745"/>
      <c r="AH51" s="326"/>
    </row>
    <row r="52" spans="2:34" ht="15" customHeight="1">
      <c r="B52" s="599"/>
      <c r="C52" s="898"/>
      <c r="D52" s="899"/>
      <c r="E52" s="899"/>
      <c r="F52" s="899"/>
      <c r="G52" s="743"/>
      <c r="H52" s="744"/>
      <c r="I52" s="745"/>
      <c r="J52" s="745"/>
      <c r="K52" s="326"/>
      <c r="M52" s="297"/>
      <c r="N52" s="599"/>
      <c r="O52" s="898"/>
      <c r="P52" s="899"/>
      <c r="Q52" s="899"/>
      <c r="R52" s="899"/>
      <c r="S52" s="743"/>
      <c r="T52" s="744"/>
      <c r="U52" s="745"/>
      <c r="V52" s="745"/>
      <c r="W52" s="326"/>
      <c r="Y52" s="599"/>
      <c r="Z52" s="898"/>
      <c r="AA52" s="899"/>
      <c r="AB52" s="899"/>
      <c r="AC52" s="899"/>
      <c r="AD52" s="743"/>
      <c r="AE52" s="744"/>
      <c r="AF52" s="745"/>
      <c r="AG52" s="745"/>
      <c r="AH52" s="326"/>
    </row>
    <row r="53" spans="2:34" ht="15" customHeight="1">
      <c r="B53" s="297"/>
      <c r="C53" s="297"/>
      <c r="D53" s="297"/>
      <c r="E53" s="297"/>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row>
    <row r="54" spans="2:34" s="297" customFormat="1" ht="15" customHeight="1" thickBot="1"/>
    <row r="55" spans="2:34" s="297" customFormat="1" ht="15" customHeight="1" thickTop="1" thickBot="1">
      <c r="B55" s="502" t="s">
        <v>55</v>
      </c>
      <c r="C55" s="526">
        <f>Organisatsioon!B23</f>
        <v>2021</v>
      </c>
      <c r="N55" s="502" t="s">
        <v>55</v>
      </c>
      <c r="O55" s="526">
        <f>Organisatsioon!B24</f>
        <v>2022</v>
      </c>
      <c r="Y55" s="502" t="s">
        <v>55</v>
      </c>
      <c r="Z55" s="526">
        <f>Organisatsioon!B25</f>
        <v>2023</v>
      </c>
    </row>
    <row r="56" spans="2:34" s="297" customFormat="1" ht="15" customHeight="1" thickTop="1">
      <c r="B56" s="321" t="s">
        <v>60</v>
      </c>
      <c r="C56" s="321"/>
      <c r="D56" s="321"/>
      <c r="E56" s="321"/>
      <c r="F56" s="321"/>
      <c r="G56" s="321"/>
      <c r="H56" s="322"/>
      <c r="N56" s="321" t="s">
        <v>60</v>
      </c>
      <c r="O56" s="321"/>
      <c r="P56" s="321"/>
      <c r="Q56" s="321"/>
      <c r="R56" s="321"/>
      <c r="S56" s="321"/>
      <c r="T56" s="322"/>
      <c r="Y56" s="321" t="s">
        <v>60</v>
      </c>
      <c r="Z56" s="321"/>
      <c r="AA56" s="321"/>
      <c r="AB56" s="321"/>
      <c r="AC56" s="321"/>
      <c r="AD56" s="321"/>
      <c r="AE56" s="322"/>
    </row>
    <row r="57" spans="2:34" ht="15" customHeight="1">
      <c r="B57" s="746" t="s">
        <v>57</v>
      </c>
      <c r="C57" s="895" t="s">
        <v>61</v>
      </c>
      <c r="D57" s="897"/>
      <c r="E57" s="895" t="s">
        <v>62</v>
      </c>
      <c r="F57" s="896"/>
      <c r="G57" s="896"/>
      <c r="H57" s="897"/>
      <c r="I57" s="297"/>
      <c r="J57" s="297"/>
      <c r="L57" s="297"/>
      <c r="M57" s="297"/>
      <c r="N57" s="746" t="s">
        <v>57</v>
      </c>
      <c r="O57" s="895" t="s">
        <v>61</v>
      </c>
      <c r="P57" s="897"/>
      <c r="Q57" s="895" t="s">
        <v>62</v>
      </c>
      <c r="R57" s="896"/>
      <c r="S57" s="896"/>
      <c r="T57" s="897"/>
      <c r="Y57" s="746" t="s">
        <v>57</v>
      </c>
      <c r="Z57" s="895" t="s">
        <v>61</v>
      </c>
      <c r="AA57" s="897"/>
      <c r="AB57" s="895" t="s">
        <v>62</v>
      </c>
      <c r="AC57" s="896"/>
      <c r="AD57" s="896"/>
      <c r="AE57" s="897"/>
    </row>
    <row r="58" spans="2:34" ht="15" customHeight="1">
      <c r="B58" s="599">
        <v>1</v>
      </c>
      <c r="C58" s="900" t="s">
        <v>13</v>
      </c>
      <c r="D58" s="901"/>
      <c r="E58" s="900" t="s">
        <v>392</v>
      </c>
      <c r="F58" s="902"/>
      <c r="G58" s="902"/>
      <c r="H58" s="901"/>
      <c r="I58" s="297"/>
      <c r="J58" s="297"/>
      <c r="L58" s="297"/>
      <c r="M58" s="297"/>
      <c r="N58" s="599"/>
      <c r="O58" s="900"/>
      <c r="P58" s="901"/>
      <c r="Q58" s="900"/>
      <c r="R58" s="902"/>
      <c r="S58" s="902"/>
      <c r="T58" s="901"/>
      <c r="Y58" s="599"/>
      <c r="Z58" s="900"/>
      <c r="AA58" s="901"/>
      <c r="AB58" s="900"/>
      <c r="AC58" s="902"/>
      <c r="AD58" s="902"/>
      <c r="AE58" s="901"/>
    </row>
    <row r="59" spans="2:34" ht="15" customHeight="1">
      <c r="B59" s="599">
        <v>1</v>
      </c>
      <c r="C59" s="900" t="s">
        <v>19</v>
      </c>
      <c r="D59" s="901"/>
      <c r="E59" s="900" t="s">
        <v>394</v>
      </c>
      <c r="F59" s="902"/>
      <c r="G59" s="902"/>
      <c r="H59" s="901"/>
      <c r="I59" s="297"/>
      <c r="J59" s="297"/>
      <c r="L59" s="297"/>
      <c r="M59" s="297"/>
      <c r="N59" s="599"/>
      <c r="O59" s="900"/>
      <c r="P59" s="901"/>
      <c r="Q59" s="900"/>
      <c r="R59" s="902"/>
      <c r="S59" s="902"/>
      <c r="T59" s="901"/>
      <c r="Y59" s="599"/>
      <c r="Z59" s="900"/>
      <c r="AA59" s="901"/>
      <c r="AB59" s="900"/>
      <c r="AC59" s="902"/>
      <c r="AD59" s="902"/>
      <c r="AE59" s="901"/>
    </row>
    <row r="60" spans="2:34" ht="15" customHeight="1">
      <c r="B60" s="599">
        <v>1</v>
      </c>
      <c r="C60" s="900" t="s">
        <v>20</v>
      </c>
      <c r="D60" s="901"/>
      <c r="E60" s="900" t="s">
        <v>65</v>
      </c>
      <c r="F60" s="902"/>
      <c r="G60" s="902"/>
      <c r="H60" s="901"/>
      <c r="I60" s="297"/>
      <c r="J60" s="297"/>
      <c r="L60" s="297"/>
      <c r="M60" s="297"/>
      <c r="N60" s="599"/>
      <c r="O60" s="900"/>
      <c r="P60" s="901"/>
      <c r="Q60" s="900"/>
      <c r="R60" s="902"/>
      <c r="S60" s="902"/>
      <c r="T60" s="901"/>
      <c r="Y60" s="599"/>
      <c r="Z60" s="900"/>
      <c r="AA60" s="901"/>
      <c r="AB60" s="900"/>
      <c r="AC60" s="902"/>
      <c r="AD60" s="902"/>
      <c r="AE60" s="901"/>
    </row>
    <row r="61" spans="2:34" ht="15" customHeight="1">
      <c r="B61" s="599"/>
      <c r="C61" s="900"/>
      <c r="D61" s="901"/>
      <c r="E61" s="900"/>
      <c r="F61" s="902"/>
      <c r="G61" s="902"/>
      <c r="H61" s="901"/>
      <c r="I61" s="297"/>
      <c r="J61" s="297"/>
      <c r="L61" s="297"/>
      <c r="M61" s="297"/>
      <c r="N61" s="599"/>
      <c r="O61" s="900"/>
      <c r="P61" s="901"/>
      <c r="Q61" s="900"/>
      <c r="R61" s="902"/>
      <c r="S61" s="902"/>
      <c r="T61" s="901"/>
      <c r="Y61" s="599"/>
      <c r="Z61" s="900"/>
      <c r="AA61" s="901"/>
      <c r="AB61" s="900"/>
      <c r="AC61" s="902"/>
      <c r="AD61" s="902"/>
      <c r="AE61" s="901"/>
    </row>
    <row r="62" spans="2:34" ht="15" customHeight="1">
      <c r="B62" s="599"/>
      <c r="C62" s="900"/>
      <c r="D62" s="901"/>
      <c r="E62" s="900"/>
      <c r="F62" s="902"/>
      <c r="G62" s="902"/>
      <c r="H62" s="901"/>
      <c r="I62" s="297"/>
      <c r="J62" s="297"/>
      <c r="L62" s="297"/>
      <c r="M62" s="297"/>
      <c r="N62" s="599"/>
      <c r="O62" s="900"/>
      <c r="P62" s="901"/>
      <c r="Q62" s="900"/>
      <c r="R62" s="902"/>
      <c r="S62" s="902"/>
      <c r="T62" s="901"/>
      <c r="Y62" s="599"/>
      <c r="Z62" s="900"/>
      <c r="AA62" s="901"/>
      <c r="AB62" s="900"/>
      <c r="AC62" s="902"/>
      <c r="AD62" s="902"/>
      <c r="AE62" s="901"/>
    </row>
    <row r="63" spans="2:34" ht="15" customHeight="1">
      <c r="B63" s="599"/>
      <c r="C63" s="900"/>
      <c r="D63" s="901"/>
      <c r="E63" s="900"/>
      <c r="F63" s="902"/>
      <c r="G63" s="902"/>
      <c r="H63" s="901"/>
      <c r="I63" s="297"/>
      <c r="J63" s="297"/>
      <c r="L63" s="297"/>
      <c r="M63" s="297"/>
      <c r="N63" s="599"/>
      <c r="O63" s="900"/>
      <c r="P63" s="901"/>
      <c r="Q63" s="900"/>
      <c r="R63" s="902"/>
      <c r="S63" s="902"/>
      <c r="T63" s="901"/>
      <c r="Y63" s="599"/>
      <c r="Z63" s="900"/>
      <c r="AA63" s="901"/>
      <c r="AB63" s="900"/>
      <c r="AC63" s="902"/>
      <c r="AD63" s="902"/>
      <c r="AE63" s="901"/>
    </row>
    <row r="64" spans="2:34" ht="15" customHeight="1">
      <c r="B64" s="599"/>
      <c r="C64" s="900"/>
      <c r="D64" s="901"/>
      <c r="E64" s="900"/>
      <c r="F64" s="902"/>
      <c r="G64" s="902"/>
      <c r="H64" s="901"/>
      <c r="I64" s="297"/>
      <c r="J64" s="297"/>
      <c r="L64" s="297"/>
      <c r="M64" s="297"/>
      <c r="N64" s="599"/>
      <c r="O64" s="900"/>
      <c r="P64" s="901"/>
      <c r="Q64" s="900"/>
      <c r="R64" s="902"/>
      <c r="S64" s="902"/>
      <c r="T64" s="901"/>
      <c r="Y64" s="599"/>
      <c r="Z64" s="900"/>
      <c r="AA64" s="901"/>
      <c r="AB64" s="900"/>
      <c r="AC64" s="902"/>
      <c r="AD64" s="902"/>
      <c r="AE64" s="901"/>
    </row>
    <row r="65" spans="1:31" ht="15" customHeight="1">
      <c r="B65" s="599"/>
      <c r="C65" s="900"/>
      <c r="D65" s="901"/>
      <c r="E65" s="900"/>
      <c r="F65" s="902"/>
      <c r="G65" s="902"/>
      <c r="H65" s="901"/>
      <c r="I65" s="297"/>
      <c r="J65" s="297"/>
      <c r="L65" s="297"/>
      <c r="M65" s="297"/>
      <c r="N65" s="599"/>
      <c r="O65" s="900"/>
      <c r="P65" s="901"/>
      <c r="Q65" s="900"/>
      <c r="R65" s="902"/>
      <c r="S65" s="902"/>
      <c r="T65" s="901"/>
      <c r="Y65" s="599"/>
      <c r="Z65" s="900"/>
      <c r="AA65" s="901"/>
      <c r="AB65" s="900"/>
      <c r="AC65" s="902"/>
      <c r="AD65" s="902"/>
      <c r="AE65" s="901"/>
    </row>
    <row r="66" spans="1:31" ht="15" customHeight="1">
      <c r="B66" s="599"/>
      <c r="C66" s="900"/>
      <c r="D66" s="901"/>
      <c r="E66" s="900"/>
      <c r="F66" s="902"/>
      <c r="G66" s="902"/>
      <c r="H66" s="901"/>
      <c r="I66" s="297"/>
      <c r="J66" s="297"/>
      <c r="L66" s="297"/>
      <c r="M66" s="297"/>
      <c r="N66" s="599"/>
      <c r="O66" s="900"/>
      <c r="P66" s="901"/>
      <c r="Q66" s="900"/>
      <c r="R66" s="902"/>
      <c r="S66" s="902"/>
      <c r="T66" s="901"/>
      <c r="Y66" s="599"/>
      <c r="Z66" s="900"/>
      <c r="AA66" s="901"/>
      <c r="AB66" s="900"/>
      <c r="AC66" s="902"/>
      <c r="AD66" s="902"/>
      <c r="AE66" s="901"/>
    </row>
    <row r="67" spans="1:31" ht="15" customHeight="1">
      <c r="B67" s="599"/>
      <c r="C67" s="900"/>
      <c r="D67" s="901"/>
      <c r="E67" s="900"/>
      <c r="F67" s="902"/>
      <c r="G67" s="902"/>
      <c r="H67" s="901"/>
      <c r="I67" s="297"/>
      <c r="J67" s="297"/>
      <c r="L67" s="297"/>
      <c r="M67" s="297"/>
      <c r="N67" s="599"/>
      <c r="O67" s="900"/>
      <c r="P67" s="901"/>
      <c r="Q67" s="900"/>
      <c r="R67" s="902"/>
      <c r="S67" s="902"/>
      <c r="T67" s="901"/>
      <c r="Y67" s="599"/>
      <c r="Z67" s="900"/>
      <c r="AA67" s="901"/>
      <c r="AB67" s="900"/>
      <c r="AC67" s="902"/>
      <c r="AD67" s="902"/>
      <c r="AE67" s="901"/>
    </row>
    <row r="68" spans="1:31" ht="15" customHeight="1">
      <c r="B68" s="599"/>
      <c r="C68" s="900"/>
      <c r="D68" s="901"/>
      <c r="E68" s="900"/>
      <c r="F68" s="902"/>
      <c r="G68" s="902"/>
      <c r="H68" s="901"/>
      <c r="I68" s="297"/>
      <c r="J68" s="297"/>
      <c r="L68" s="297"/>
      <c r="M68" s="297"/>
      <c r="N68" s="599"/>
      <c r="O68" s="900"/>
      <c r="P68" s="901"/>
      <c r="Q68" s="900"/>
      <c r="R68" s="902"/>
      <c r="S68" s="902"/>
      <c r="T68" s="901"/>
      <c r="Y68" s="599"/>
      <c r="Z68" s="900"/>
      <c r="AA68" s="901"/>
      <c r="AB68" s="900"/>
      <c r="AC68" s="902"/>
      <c r="AD68" s="902"/>
      <c r="AE68" s="901"/>
    </row>
    <row r="69" spans="1:31" ht="15" customHeight="1">
      <c r="B69" s="599"/>
      <c r="C69" s="900"/>
      <c r="D69" s="901"/>
      <c r="E69" s="900"/>
      <c r="F69" s="902"/>
      <c r="G69" s="902"/>
      <c r="H69" s="901"/>
      <c r="I69" s="297"/>
      <c r="J69" s="297"/>
      <c r="L69" s="297"/>
      <c r="M69" s="297"/>
      <c r="N69" s="599"/>
      <c r="O69" s="900"/>
      <c r="P69" s="901"/>
      <c r="Q69" s="900"/>
      <c r="R69" s="902"/>
      <c r="S69" s="902"/>
      <c r="T69" s="901"/>
      <c r="Y69" s="599"/>
      <c r="Z69" s="900"/>
      <c r="AA69" s="901"/>
      <c r="AB69" s="900"/>
      <c r="AC69" s="902"/>
      <c r="AD69" s="902"/>
      <c r="AE69" s="901"/>
    </row>
    <row r="70" spans="1:31" ht="15" customHeight="1">
      <c r="B70" s="599"/>
      <c r="C70" s="900"/>
      <c r="D70" s="901"/>
      <c r="E70" s="900"/>
      <c r="F70" s="902"/>
      <c r="G70" s="902"/>
      <c r="H70" s="901"/>
      <c r="I70" s="297"/>
      <c r="J70" s="297"/>
      <c r="L70" s="297"/>
      <c r="M70" s="297"/>
      <c r="N70" s="599"/>
      <c r="O70" s="900"/>
      <c r="P70" s="901"/>
      <c r="Q70" s="900"/>
      <c r="R70" s="902"/>
      <c r="S70" s="902"/>
      <c r="T70" s="901"/>
      <c r="Y70" s="599"/>
      <c r="Z70" s="900"/>
      <c r="AA70" s="901"/>
      <c r="AB70" s="900"/>
      <c r="AC70" s="902"/>
      <c r="AD70" s="902"/>
      <c r="AE70" s="901"/>
    </row>
    <row r="71" spans="1:31" ht="15" customHeight="1">
      <c r="L71" s="659"/>
    </row>
    <row r="73" spans="1:31" ht="15" customHeight="1">
      <c r="A73" s="297"/>
      <c r="B73" s="297"/>
      <c r="C73" s="297"/>
      <c r="D73" s="297"/>
      <c r="E73" s="297"/>
      <c r="F73" s="297"/>
      <c r="G73" s="297"/>
      <c r="H73" s="297"/>
      <c r="I73" s="297"/>
      <c r="J73" s="726"/>
      <c r="K73" s="734">
        <f t="shared" ref="K73" si="0">H73-G73+1</f>
        <v>1</v>
      </c>
    </row>
  </sheetData>
  <mergeCells count="140">
    <mergeCell ref="E64:H64"/>
    <mergeCell ref="C58:D58"/>
    <mergeCell ref="B18:I18"/>
    <mergeCell ref="C22:F22"/>
    <mergeCell ref="B31:B32"/>
    <mergeCell ref="C23:F23"/>
    <mergeCell ref="C24:F24"/>
    <mergeCell ref="C25:F25"/>
    <mergeCell ref="C26:F26"/>
    <mergeCell ref="C27:F27"/>
    <mergeCell ref="C31:D32"/>
    <mergeCell ref="E31:F32"/>
    <mergeCell ref="C33:D33"/>
    <mergeCell ref="C34:D34"/>
    <mergeCell ref="C35:D35"/>
    <mergeCell ref="C36:D36"/>
    <mergeCell ref="C37:D37"/>
    <mergeCell ref="E33:F33"/>
    <mergeCell ref="E34:F34"/>
    <mergeCell ref="E35:F35"/>
    <mergeCell ref="E36:F36"/>
    <mergeCell ref="E37:F37"/>
    <mergeCell ref="C69:D69"/>
    <mergeCell ref="C70:D70"/>
    <mergeCell ref="C64:D64"/>
    <mergeCell ref="C65:D65"/>
    <mergeCell ref="C66:D66"/>
    <mergeCell ref="C67:D67"/>
    <mergeCell ref="C68:D68"/>
    <mergeCell ref="C52:F52"/>
    <mergeCell ref="C61:D61"/>
    <mergeCell ref="C62:D62"/>
    <mergeCell ref="E58:H58"/>
    <mergeCell ref="E59:H59"/>
    <mergeCell ref="C59:D59"/>
    <mergeCell ref="C60:D60"/>
    <mergeCell ref="E70:H70"/>
    <mergeCell ref="C57:D57"/>
    <mergeCell ref="E57:H57"/>
    <mergeCell ref="E65:H65"/>
    <mergeCell ref="E66:H66"/>
    <mergeCell ref="E67:H67"/>
    <mergeCell ref="E68:H68"/>
    <mergeCell ref="E69:H69"/>
    <mergeCell ref="E60:H60"/>
    <mergeCell ref="E61:H61"/>
    <mergeCell ref="O47:R47"/>
    <mergeCell ref="O42:R42"/>
    <mergeCell ref="S42:W42"/>
    <mergeCell ref="C63:D63"/>
    <mergeCell ref="C47:F47"/>
    <mergeCell ref="C48:F48"/>
    <mergeCell ref="C49:F49"/>
    <mergeCell ref="C50:F50"/>
    <mergeCell ref="C51:F51"/>
    <mergeCell ref="C43:F43"/>
    <mergeCell ref="O48:R48"/>
    <mergeCell ref="C44:F44"/>
    <mergeCell ref="C45:F45"/>
    <mergeCell ref="C46:F46"/>
    <mergeCell ref="G42:K42"/>
    <mergeCell ref="C42:F42"/>
    <mergeCell ref="E62:H62"/>
    <mergeCell ref="E63:H63"/>
    <mergeCell ref="O59:P59"/>
    <mergeCell ref="Q59:T59"/>
    <mergeCell ref="O49:R49"/>
    <mergeCell ref="O50:R50"/>
    <mergeCell ref="O51:R51"/>
    <mergeCell ref="Z59:AA59"/>
    <mergeCell ref="Q66:T66"/>
    <mergeCell ref="Q67:T67"/>
    <mergeCell ref="Q68:T68"/>
    <mergeCell ref="Q63:T63"/>
    <mergeCell ref="Q64:T64"/>
    <mergeCell ref="O52:R52"/>
    <mergeCell ref="AB59:AE59"/>
    <mergeCell ref="Z60:AA60"/>
    <mergeCell ref="AB60:AE60"/>
    <mergeCell ref="Z61:AA61"/>
    <mergeCell ref="AB61:AE61"/>
    <mergeCell ref="Z70:AA70"/>
    <mergeCell ref="AB70:AE70"/>
    <mergeCell ref="Z65:AA65"/>
    <mergeCell ref="AB65:AE65"/>
    <mergeCell ref="Z66:AA66"/>
    <mergeCell ref="AB66:AE66"/>
    <mergeCell ref="Z67:AA67"/>
    <mergeCell ref="AB67:AE67"/>
    <mergeCell ref="Z62:AA62"/>
    <mergeCell ref="AB62:AE62"/>
    <mergeCell ref="Z63:AA63"/>
    <mergeCell ref="AB63:AE63"/>
    <mergeCell ref="Z64:AA64"/>
    <mergeCell ref="AB64:AE64"/>
    <mergeCell ref="Z68:AA68"/>
    <mergeCell ref="AB68:AE68"/>
    <mergeCell ref="Z69:AA69"/>
    <mergeCell ref="AB69:AE69"/>
    <mergeCell ref="O70:P70"/>
    <mergeCell ref="O69:P69"/>
    <mergeCell ref="Q69:T69"/>
    <mergeCell ref="O65:P65"/>
    <mergeCell ref="Q65:T65"/>
    <mergeCell ref="O60:P60"/>
    <mergeCell ref="Q60:T60"/>
    <mergeCell ref="O61:P61"/>
    <mergeCell ref="Q61:T61"/>
    <mergeCell ref="O62:P62"/>
    <mergeCell ref="Q62:T62"/>
    <mergeCell ref="O66:P66"/>
    <mergeCell ref="O67:P67"/>
    <mergeCell ref="O68:P68"/>
    <mergeCell ref="O63:P63"/>
    <mergeCell ref="O64:P64"/>
    <mergeCell ref="Q70:T70"/>
    <mergeCell ref="AD42:AH42"/>
    <mergeCell ref="Z43:AC43"/>
    <mergeCell ref="Z44:AC44"/>
    <mergeCell ref="Z45:AC45"/>
    <mergeCell ref="Z46:AC46"/>
    <mergeCell ref="O57:P57"/>
    <mergeCell ref="Q57:T57"/>
    <mergeCell ref="O58:P58"/>
    <mergeCell ref="Q58:T58"/>
    <mergeCell ref="Z42:AC42"/>
    <mergeCell ref="Z47:AC47"/>
    <mergeCell ref="Z48:AC48"/>
    <mergeCell ref="Z49:AC49"/>
    <mergeCell ref="Z50:AC50"/>
    <mergeCell ref="Z51:AC51"/>
    <mergeCell ref="Z52:AC52"/>
    <mergeCell ref="Z57:AA57"/>
    <mergeCell ref="AB57:AE57"/>
    <mergeCell ref="Z58:AA58"/>
    <mergeCell ref="AB58:AE58"/>
    <mergeCell ref="O43:R43"/>
    <mergeCell ref="O44:R44"/>
    <mergeCell ref="O45:R45"/>
    <mergeCell ref="O46:R46"/>
  </mergeCells>
  <hyperlinks>
    <hyperlink ref="A2" location="Sisukord!A1" display="Sisukord"/>
  </hyperlink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Viited!$B$49:$B$62</xm:f>
          </x14:formula1>
          <xm:sqref>AA60:AA70 E58:H58 E59:E70 AB58:AB70 P60:P70 Q58:Q70 D60:D70</xm:sqref>
        </x14:dataValidation>
        <x14:dataValidation type="list" allowBlank="1" showInputMessage="1" showErrorMessage="1">
          <x14:formula1>
            <xm:f>Viited!$B$45:$B$47</xm:f>
          </x14:formula1>
          <xm:sqref>Z58:Z70 O58:O70 C59:C70 C58:D58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2:AY1008"/>
  <sheetViews>
    <sheetView zoomScale="50" zoomScaleNormal="50" workbookViewId="0">
      <selection activeCell="AJ6" sqref="AJ6"/>
    </sheetView>
  </sheetViews>
  <sheetFormatPr defaultRowHeight="14.5"/>
  <sheetData>
    <row r="2" spans="2:36" ht="17.5">
      <c r="B2" s="245" t="s">
        <v>1060</v>
      </c>
      <c r="C2" s="246" t="s">
        <v>1061</v>
      </c>
      <c r="D2" s="247"/>
      <c r="E2" s="247"/>
      <c r="F2" s="248"/>
      <c r="G2" s="248"/>
      <c r="H2" s="248"/>
      <c r="I2" s="248"/>
      <c r="J2" s="248"/>
      <c r="K2" s="248"/>
      <c r="Q2" s="245" t="s">
        <v>1062</v>
      </c>
      <c r="R2" s="246" t="s">
        <v>1063</v>
      </c>
      <c r="S2" s="247"/>
      <c r="T2" s="247"/>
      <c r="U2" s="247"/>
      <c r="V2" s="248"/>
      <c r="W2" s="248"/>
      <c r="X2" s="248"/>
      <c r="Y2" s="248"/>
      <c r="Z2" s="248"/>
      <c r="AA2" s="249"/>
    </row>
    <row r="3" spans="2:36" ht="15" thickBot="1">
      <c r="B3" s="1"/>
      <c r="C3" s="2"/>
      <c r="D3" s="2"/>
      <c r="E3" s="2"/>
      <c r="F3" s="2"/>
      <c r="G3" s="2"/>
      <c r="H3" s="2"/>
      <c r="I3" s="2"/>
      <c r="J3" s="2"/>
      <c r="K3" s="2"/>
      <c r="Q3" s="1"/>
      <c r="R3" s="2"/>
      <c r="S3" s="2"/>
      <c r="T3" s="2"/>
      <c r="U3" s="2"/>
      <c r="V3" s="2"/>
      <c r="W3" s="2"/>
      <c r="X3" s="2"/>
      <c r="Y3" s="2"/>
      <c r="Z3" s="2"/>
      <c r="AA3" s="2"/>
    </row>
    <row r="4" spans="2:36" ht="39.5" thickBot="1">
      <c r="B4" s="3"/>
      <c r="C4" s="4" t="s">
        <v>1064</v>
      </c>
      <c r="D4" s="5" t="s">
        <v>1065</v>
      </c>
      <c r="E4" s="5" t="s">
        <v>1066</v>
      </c>
      <c r="F4" s="5" t="s">
        <v>1067</v>
      </c>
      <c r="G4" s="5" t="s">
        <v>1068</v>
      </c>
      <c r="H4" s="5" t="s">
        <v>1066</v>
      </c>
      <c r="I4" s="5" t="s">
        <v>1067</v>
      </c>
      <c r="J4" s="6" t="s">
        <v>1068</v>
      </c>
      <c r="K4" s="7"/>
      <c r="Q4" s="92"/>
      <c r="R4" s="91" t="s">
        <v>1064</v>
      </c>
      <c r="S4" s="90" t="s">
        <v>1069</v>
      </c>
      <c r="T4" s="89" t="s">
        <v>860</v>
      </c>
      <c r="U4" s="88"/>
      <c r="V4" s="63"/>
      <c r="W4" s="63"/>
      <c r="X4" s="64"/>
      <c r="Y4" s="64"/>
      <c r="Z4" s="92"/>
      <c r="AA4" s="92"/>
      <c r="AG4" t="s">
        <v>853</v>
      </c>
      <c r="AH4" t="s">
        <v>854</v>
      </c>
      <c r="AI4" t="s">
        <v>173</v>
      </c>
      <c r="AJ4" t="s">
        <v>855</v>
      </c>
    </row>
    <row r="5" spans="2:36" ht="36.5">
      <c r="B5" s="8"/>
      <c r="C5" s="9"/>
      <c r="D5" s="250" t="s">
        <v>1070</v>
      </c>
      <c r="E5" s="250" t="s">
        <v>1071</v>
      </c>
      <c r="F5" s="250" t="s">
        <v>1072</v>
      </c>
      <c r="G5" s="250" t="s">
        <v>1073</v>
      </c>
      <c r="H5" s="250" t="s">
        <v>1074</v>
      </c>
      <c r="I5" s="250" t="s">
        <v>1075</v>
      </c>
      <c r="J5" s="10" t="s">
        <v>1076</v>
      </c>
      <c r="K5" s="7"/>
      <c r="Q5" s="1"/>
      <c r="R5" s="65" t="s">
        <v>516</v>
      </c>
      <c r="S5" s="66">
        <v>8.31</v>
      </c>
      <c r="T5" s="67" t="s">
        <v>547</v>
      </c>
      <c r="U5" s="88"/>
      <c r="V5" s="63"/>
      <c r="W5" s="63"/>
      <c r="X5" s="64"/>
      <c r="Y5" s="68"/>
      <c r="Z5" s="2"/>
      <c r="AA5" s="2"/>
      <c r="AG5" t="s">
        <v>857</v>
      </c>
      <c r="AH5" t="s">
        <v>309</v>
      </c>
      <c r="AI5">
        <v>1</v>
      </c>
      <c r="AJ5">
        <v>1</v>
      </c>
    </row>
    <row r="6" spans="2:36">
      <c r="B6" s="11"/>
      <c r="C6" s="251" t="s">
        <v>1077</v>
      </c>
      <c r="D6" s="12"/>
      <c r="E6" s="12"/>
      <c r="F6" s="12"/>
      <c r="G6" s="12"/>
      <c r="H6" s="12"/>
      <c r="I6" s="12"/>
      <c r="J6" s="13"/>
      <c r="K6" s="2"/>
      <c r="Q6" s="1"/>
      <c r="R6" s="69" t="s">
        <v>479</v>
      </c>
      <c r="S6" s="252">
        <v>9.4499999999999993</v>
      </c>
      <c r="T6" s="70" t="s">
        <v>547</v>
      </c>
      <c r="U6" s="63"/>
      <c r="V6" s="63"/>
      <c r="W6" s="63"/>
      <c r="X6" s="64"/>
      <c r="Y6" s="68"/>
      <c r="Z6" s="2"/>
      <c r="AA6" s="2"/>
      <c r="AG6" t="s">
        <v>858</v>
      </c>
      <c r="AH6" t="s">
        <v>236</v>
      </c>
      <c r="AI6">
        <v>25</v>
      </c>
      <c r="AJ6">
        <v>28</v>
      </c>
    </row>
    <row r="7" spans="2:36">
      <c r="B7" s="14"/>
      <c r="C7" s="15" t="s">
        <v>428</v>
      </c>
      <c r="D7" s="253">
        <v>25.09</v>
      </c>
      <c r="E7" s="253">
        <v>103.69</v>
      </c>
      <c r="F7" s="254">
        <v>11</v>
      </c>
      <c r="G7" s="255">
        <v>1.6</v>
      </c>
      <c r="H7" s="254">
        <v>2602</v>
      </c>
      <c r="I7" s="254">
        <v>276</v>
      </c>
      <c r="J7" s="16">
        <v>40</v>
      </c>
      <c r="K7" s="17"/>
      <c r="Q7" s="1"/>
      <c r="R7" s="69" t="s">
        <v>1078</v>
      </c>
      <c r="S7" s="256">
        <v>5.4440000000000002E-2</v>
      </c>
      <c r="T7" s="70" t="s">
        <v>491</v>
      </c>
      <c r="U7" s="63"/>
      <c r="V7" s="63"/>
      <c r="W7" s="63"/>
      <c r="X7" s="64"/>
      <c r="Y7" s="68"/>
      <c r="Z7" s="2"/>
      <c r="AA7" s="2"/>
      <c r="AG7" t="s">
        <v>859</v>
      </c>
      <c r="AH7" t="s">
        <v>190</v>
      </c>
      <c r="AI7">
        <v>298</v>
      </c>
      <c r="AJ7">
        <v>265</v>
      </c>
    </row>
    <row r="8" spans="2:36">
      <c r="B8" s="14"/>
      <c r="C8" s="15" t="s">
        <v>452</v>
      </c>
      <c r="D8" s="253">
        <v>24.93</v>
      </c>
      <c r="E8" s="253">
        <v>93.28</v>
      </c>
      <c r="F8" s="254">
        <v>11</v>
      </c>
      <c r="G8" s="255">
        <v>1.6</v>
      </c>
      <c r="H8" s="254">
        <v>2325</v>
      </c>
      <c r="I8" s="254">
        <v>274</v>
      </c>
      <c r="J8" s="16">
        <v>40</v>
      </c>
      <c r="K8" s="17"/>
      <c r="Q8" s="71"/>
      <c r="R8" s="69" t="s">
        <v>458</v>
      </c>
      <c r="S8" s="252">
        <v>10.210000000000001</v>
      </c>
      <c r="T8" s="72" t="s">
        <v>547</v>
      </c>
      <c r="U8" s="63"/>
      <c r="V8" s="63"/>
      <c r="W8" s="63"/>
      <c r="X8" s="64"/>
      <c r="Y8" s="68"/>
      <c r="Z8" s="2"/>
      <c r="AA8" s="2"/>
      <c r="AG8" t="s">
        <v>850</v>
      </c>
      <c r="AH8" t="s">
        <v>235</v>
      </c>
      <c r="AI8">
        <v>17200</v>
      </c>
      <c r="AJ8">
        <v>16100</v>
      </c>
    </row>
    <row r="9" spans="2:36">
      <c r="B9" s="14"/>
      <c r="C9" s="15" t="s">
        <v>474</v>
      </c>
      <c r="D9" s="253">
        <v>17.25</v>
      </c>
      <c r="E9" s="253">
        <v>97.17</v>
      </c>
      <c r="F9" s="254">
        <v>11</v>
      </c>
      <c r="G9" s="255">
        <v>1.6</v>
      </c>
      <c r="H9" s="254">
        <v>1676</v>
      </c>
      <c r="I9" s="254">
        <v>190</v>
      </c>
      <c r="J9" s="16">
        <v>28</v>
      </c>
      <c r="K9" s="17"/>
      <c r="Q9" s="1"/>
      <c r="R9" s="69" t="s">
        <v>500</v>
      </c>
      <c r="S9" s="252">
        <v>5.75</v>
      </c>
      <c r="T9" s="70" t="s">
        <v>547</v>
      </c>
      <c r="U9" s="63"/>
      <c r="V9" s="63"/>
      <c r="W9" s="63"/>
      <c r="X9" s="64"/>
      <c r="Y9" s="68"/>
      <c r="Z9" s="2"/>
      <c r="AA9" s="2"/>
      <c r="AG9" t="s">
        <v>851</v>
      </c>
      <c r="AH9" t="s">
        <v>313</v>
      </c>
      <c r="AI9">
        <v>22800</v>
      </c>
      <c r="AJ9">
        <v>23500</v>
      </c>
    </row>
    <row r="10" spans="2:36">
      <c r="B10" s="14"/>
      <c r="C10" s="15" t="s">
        <v>488</v>
      </c>
      <c r="D10" s="253">
        <v>14.21</v>
      </c>
      <c r="E10" s="253">
        <v>97.72</v>
      </c>
      <c r="F10" s="254">
        <v>11</v>
      </c>
      <c r="G10" s="255">
        <v>1.6</v>
      </c>
      <c r="H10" s="254">
        <v>1389</v>
      </c>
      <c r="I10" s="254">
        <v>156</v>
      </c>
      <c r="J10" s="16">
        <v>23</v>
      </c>
      <c r="K10" s="17"/>
      <c r="Q10" s="1"/>
      <c r="R10" s="69" t="s">
        <v>697</v>
      </c>
      <c r="S10" s="252">
        <v>9.75</v>
      </c>
      <c r="T10" s="72" t="s">
        <v>547</v>
      </c>
      <c r="U10" s="63"/>
      <c r="V10" s="63"/>
      <c r="W10" s="63"/>
      <c r="X10" s="64"/>
      <c r="Y10" s="68"/>
      <c r="Z10" s="2"/>
      <c r="AA10" s="2"/>
    </row>
    <row r="11" spans="2:36">
      <c r="B11" s="14"/>
      <c r="C11" s="18" t="s">
        <v>497</v>
      </c>
      <c r="D11" s="253">
        <v>21.39</v>
      </c>
      <c r="E11" s="253">
        <v>94.27</v>
      </c>
      <c r="F11" s="254">
        <v>11</v>
      </c>
      <c r="G11" s="255">
        <v>1.6</v>
      </c>
      <c r="H11" s="254">
        <v>2016</v>
      </c>
      <c r="I11" s="254">
        <v>235</v>
      </c>
      <c r="J11" s="16">
        <v>34</v>
      </c>
      <c r="K11" s="19"/>
      <c r="Q11" s="1"/>
      <c r="R11" s="69" t="s">
        <v>1079</v>
      </c>
      <c r="S11" s="257">
        <v>4.5</v>
      </c>
      <c r="T11" s="70" t="s">
        <v>547</v>
      </c>
      <c r="U11" s="2"/>
      <c r="V11" s="63"/>
      <c r="W11" s="63"/>
      <c r="X11" s="64"/>
      <c r="Y11" s="68"/>
      <c r="Z11" s="2"/>
      <c r="AA11" s="2"/>
    </row>
    <row r="12" spans="2:36">
      <c r="B12" s="14"/>
      <c r="C12" s="18" t="s">
        <v>506</v>
      </c>
      <c r="D12" s="253">
        <v>19.73</v>
      </c>
      <c r="E12" s="253">
        <v>95.52</v>
      </c>
      <c r="F12" s="254">
        <v>11</v>
      </c>
      <c r="G12" s="255">
        <v>1.6</v>
      </c>
      <c r="H12" s="254">
        <v>1885</v>
      </c>
      <c r="I12" s="254">
        <v>217</v>
      </c>
      <c r="J12" s="16">
        <v>32</v>
      </c>
      <c r="K12" s="17"/>
      <c r="Q12" s="1"/>
      <c r="R12" s="69" t="s">
        <v>701</v>
      </c>
      <c r="S12" s="252">
        <v>5.68</v>
      </c>
      <c r="T12" s="72" t="s">
        <v>547</v>
      </c>
      <c r="U12" s="63"/>
      <c r="V12" s="73"/>
      <c r="W12" s="63"/>
      <c r="X12" s="64"/>
      <c r="Y12" s="68"/>
      <c r="Z12" s="2"/>
      <c r="AA12" s="2"/>
    </row>
    <row r="13" spans="2:36">
      <c r="B13" s="14"/>
      <c r="C13" s="18" t="s">
        <v>515</v>
      </c>
      <c r="D13" s="253">
        <v>26.28</v>
      </c>
      <c r="E13" s="253">
        <v>93.9</v>
      </c>
      <c r="F13" s="254">
        <v>11</v>
      </c>
      <c r="G13" s="255">
        <v>1.6</v>
      </c>
      <c r="H13" s="254">
        <v>2468</v>
      </c>
      <c r="I13" s="254">
        <v>289</v>
      </c>
      <c r="J13" s="16">
        <v>42</v>
      </c>
      <c r="K13" s="17"/>
      <c r="Q13" s="1"/>
      <c r="R13" s="69" t="s">
        <v>434</v>
      </c>
      <c r="S13" s="252">
        <v>8.7799999999999994</v>
      </c>
      <c r="T13" s="72" t="s">
        <v>547</v>
      </c>
      <c r="U13" s="63"/>
      <c r="V13" s="63"/>
      <c r="W13" s="63"/>
      <c r="X13" s="64"/>
      <c r="Y13" s="68"/>
      <c r="Z13" s="2"/>
      <c r="AA13" s="2"/>
    </row>
    <row r="14" spans="2:36" ht="15" thickBot="1">
      <c r="B14" s="14"/>
      <c r="C14" s="18" t="s">
        <v>524</v>
      </c>
      <c r="D14" s="253">
        <v>22.35</v>
      </c>
      <c r="E14" s="253">
        <v>94.67</v>
      </c>
      <c r="F14" s="254">
        <v>11</v>
      </c>
      <c r="G14" s="255">
        <v>1.6</v>
      </c>
      <c r="H14" s="254">
        <v>2116</v>
      </c>
      <c r="I14" s="254">
        <v>246</v>
      </c>
      <c r="J14" s="16">
        <v>36</v>
      </c>
      <c r="K14" s="17"/>
      <c r="Q14" s="1"/>
      <c r="R14" s="100" t="s">
        <v>1080</v>
      </c>
      <c r="S14" s="101">
        <v>11.27</v>
      </c>
      <c r="T14" s="102" t="s">
        <v>547</v>
      </c>
      <c r="U14" s="63"/>
      <c r="V14" s="63"/>
      <c r="W14" s="63"/>
      <c r="X14" s="64"/>
      <c r="Y14" s="64"/>
      <c r="Z14" s="2"/>
      <c r="AA14" s="2"/>
    </row>
    <row r="15" spans="2:36">
      <c r="B15" s="14"/>
      <c r="C15" s="15" t="s">
        <v>531</v>
      </c>
      <c r="D15" s="253">
        <v>24.8</v>
      </c>
      <c r="E15" s="253">
        <v>113.67</v>
      </c>
      <c r="F15" s="254">
        <v>11</v>
      </c>
      <c r="G15" s="255">
        <v>1.6</v>
      </c>
      <c r="H15" s="254">
        <v>2819</v>
      </c>
      <c r="I15" s="254">
        <v>273</v>
      </c>
      <c r="J15" s="16">
        <v>40</v>
      </c>
      <c r="K15" s="17"/>
      <c r="Q15" s="92"/>
      <c r="R15" s="59" t="s">
        <v>1081</v>
      </c>
      <c r="S15" s="60"/>
      <c r="T15" s="60"/>
      <c r="U15" s="103"/>
      <c r="V15" s="103"/>
      <c r="W15" s="103"/>
      <c r="X15" s="103"/>
      <c r="Y15" s="103"/>
      <c r="Z15" s="60"/>
      <c r="AA15" s="60"/>
    </row>
    <row r="16" spans="2:36">
      <c r="B16" s="11"/>
      <c r="C16" s="20" t="s">
        <v>1082</v>
      </c>
      <c r="D16" s="21"/>
      <c r="E16" s="21"/>
      <c r="F16" s="22"/>
      <c r="G16" s="23"/>
      <c r="H16" s="22"/>
      <c r="I16" s="22"/>
      <c r="J16" s="24"/>
      <c r="K16" s="17"/>
      <c r="Q16" s="1"/>
      <c r="R16" s="1001" t="s">
        <v>1083</v>
      </c>
      <c r="S16" s="1001"/>
      <c r="T16" s="1001"/>
      <c r="U16" s="1001"/>
      <c r="V16" s="1001"/>
      <c r="W16" s="1001"/>
      <c r="X16" s="1001"/>
      <c r="Y16" s="1001"/>
      <c r="Z16" s="1001"/>
      <c r="AA16" s="2"/>
    </row>
    <row r="17" spans="2:27">
      <c r="B17" s="14"/>
      <c r="C17" s="18" t="s">
        <v>539</v>
      </c>
      <c r="D17" s="253">
        <v>9.9499999999999993</v>
      </c>
      <c r="E17" s="253">
        <v>90.7</v>
      </c>
      <c r="F17" s="254">
        <v>32</v>
      </c>
      <c r="G17" s="255">
        <v>4.2</v>
      </c>
      <c r="H17" s="254">
        <v>902</v>
      </c>
      <c r="I17" s="254">
        <v>318</v>
      </c>
      <c r="J17" s="16">
        <v>42</v>
      </c>
      <c r="K17" s="17"/>
      <c r="Q17" s="1"/>
      <c r="R17" s="62" t="s">
        <v>1084</v>
      </c>
      <c r="S17" s="104"/>
      <c r="T17" s="104"/>
      <c r="U17" s="104"/>
      <c r="V17" s="104"/>
      <c r="W17" s="105"/>
      <c r="X17" s="105"/>
      <c r="Y17" s="2"/>
      <c r="Z17" s="2"/>
      <c r="AA17" s="106"/>
    </row>
    <row r="18" spans="2:27">
      <c r="B18" s="14"/>
      <c r="C18" s="18" t="s">
        <v>543</v>
      </c>
      <c r="D18" s="253">
        <v>30</v>
      </c>
      <c r="E18" s="253">
        <v>102.41</v>
      </c>
      <c r="F18" s="254">
        <v>32</v>
      </c>
      <c r="G18" s="255">
        <v>4.2</v>
      </c>
      <c r="H18" s="254">
        <v>3072</v>
      </c>
      <c r="I18" s="254">
        <v>960</v>
      </c>
      <c r="J18" s="16">
        <v>126</v>
      </c>
      <c r="K18" s="25"/>
      <c r="Q18" s="1"/>
      <c r="R18" s="1022" t="s">
        <v>1085</v>
      </c>
      <c r="S18" s="1022"/>
      <c r="T18" s="1022"/>
      <c r="U18" s="1022"/>
      <c r="V18" s="1022"/>
      <c r="W18" s="1022"/>
      <c r="X18" s="1022"/>
      <c r="Y18" s="1022"/>
      <c r="Z18" s="1022"/>
      <c r="AA18" s="106"/>
    </row>
    <row r="19" spans="2:27">
      <c r="B19" s="14"/>
      <c r="C19" s="18" t="s">
        <v>548</v>
      </c>
      <c r="D19" s="253">
        <v>38</v>
      </c>
      <c r="E19" s="253">
        <v>75</v>
      </c>
      <c r="F19" s="254">
        <v>32</v>
      </c>
      <c r="G19" s="255">
        <v>4.2</v>
      </c>
      <c r="H19" s="254">
        <v>2850</v>
      </c>
      <c r="I19" s="254">
        <v>1216</v>
      </c>
      <c r="J19" s="16">
        <v>160</v>
      </c>
      <c r="K19" s="2"/>
      <c r="Q19" s="1"/>
      <c r="R19" s="107"/>
      <c r="S19" s="2"/>
      <c r="T19" s="2"/>
      <c r="U19" s="2"/>
      <c r="V19" s="2"/>
      <c r="W19" s="2"/>
      <c r="X19" s="2"/>
      <c r="Y19" s="2"/>
      <c r="Z19" s="2"/>
      <c r="AA19" s="2"/>
    </row>
    <row r="20" spans="2:27" ht="17.5">
      <c r="B20" s="14"/>
      <c r="C20" s="18" t="s">
        <v>555</v>
      </c>
      <c r="D20" s="253">
        <v>28</v>
      </c>
      <c r="E20" s="253">
        <v>85.97</v>
      </c>
      <c r="F20" s="254">
        <v>32</v>
      </c>
      <c r="G20" s="255">
        <v>4.2</v>
      </c>
      <c r="H20" s="254">
        <v>2407</v>
      </c>
      <c r="I20" s="254">
        <v>896</v>
      </c>
      <c r="J20" s="16">
        <v>118</v>
      </c>
      <c r="K20" s="2"/>
      <c r="Q20" s="213" t="s">
        <v>1086</v>
      </c>
      <c r="R20" s="258" t="s">
        <v>1087</v>
      </c>
      <c r="S20" s="259"/>
      <c r="T20" s="215"/>
      <c r="U20" s="215"/>
      <c r="V20" s="215"/>
      <c r="W20" s="215"/>
      <c r="X20" s="215"/>
      <c r="Y20" s="215"/>
      <c r="Z20" s="215"/>
      <c r="AA20" s="216"/>
    </row>
    <row r="21" spans="2:27" ht="15" thickBot="1">
      <c r="B21" s="11"/>
      <c r="C21" s="20" t="s">
        <v>1088</v>
      </c>
      <c r="D21" s="21"/>
      <c r="E21" s="21"/>
      <c r="F21" s="22"/>
      <c r="G21" s="23"/>
      <c r="H21" s="26"/>
      <c r="I21" s="26"/>
      <c r="J21" s="27"/>
      <c r="K21" s="2"/>
      <c r="Q21" s="2"/>
      <c r="R21" s="2"/>
      <c r="S21" s="2"/>
      <c r="T21" s="2"/>
      <c r="U21" s="2"/>
      <c r="V21" s="2"/>
      <c r="W21" s="2"/>
      <c r="X21" s="2"/>
      <c r="Y21" s="2"/>
      <c r="Z21" s="2"/>
      <c r="AA21" s="2"/>
    </row>
    <row r="22" spans="2:27" ht="41.5" thickBot="1">
      <c r="B22" s="14"/>
      <c r="C22" s="18" t="s">
        <v>563</v>
      </c>
      <c r="D22" s="253">
        <v>8.25</v>
      </c>
      <c r="E22" s="253">
        <v>118.17</v>
      </c>
      <c r="F22" s="254">
        <v>32</v>
      </c>
      <c r="G22" s="255">
        <v>4.2</v>
      </c>
      <c r="H22" s="254">
        <v>975</v>
      </c>
      <c r="I22" s="254">
        <v>264</v>
      </c>
      <c r="J22" s="16">
        <v>35</v>
      </c>
      <c r="K22" s="2"/>
      <c r="Q22" s="2"/>
      <c r="R22" s="108" t="s">
        <v>1089</v>
      </c>
      <c r="S22" s="109" t="s">
        <v>1090</v>
      </c>
      <c r="T22" s="110" t="s">
        <v>1091</v>
      </c>
      <c r="U22" s="111" t="s">
        <v>1092</v>
      </c>
      <c r="V22" s="112"/>
      <c r="W22" s="2"/>
      <c r="X22" s="2"/>
      <c r="Y22" s="2"/>
      <c r="Z22" s="2"/>
      <c r="AA22" s="2"/>
    </row>
    <row r="23" spans="2:27">
      <c r="B23" s="14"/>
      <c r="C23" s="18" t="s">
        <v>570</v>
      </c>
      <c r="D23" s="253">
        <v>8</v>
      </c>
      <c r="E23" s="253">
        <v>111.84</v>
      </c>
      <c r="F23" s="254">
        <v>32</v>
      </c>
      <c r="G23" s="255">
        <v>4.2</v>
      </c>
      <c r="H23" s="254">
        <v>895</v>
      </c>
      <c r="I23" s="254">
        <v>256</v>
      </c>
      <c r="J23" s="16">
        <v>34</v>
      </c>
      <c r="K23" s="2"/>
      <c r="Q23" s="2"/>
      <c r="R23" s="113" t="s">
        <v>602</v>
      </c>
      <c r="S23" s="114" t="s">
        <v>1093</v>
      </c>
      <c r="T23" s="115">
        <v>0.1696</v>
      </c>
      <c r="U23" s="116">
        <v>1.9699999999999999E-2</v>
      </c>
      <c r="V23" s="112"/>
      <c r="W23" s="112"/>
      <c r="X23" s="2"/>
      <c r="Y23" s="2"/>
      <c r="Z23" s="2"/>
      <c r="AA23" s="2"/>
    </row>
    <row r="24" spans="2:27">
      <c r="B24" s="14"/>
      <c r="C24" s="18" t="s">
        <v>575</v>
      </c>
      <c r="D24" s="253">
        <v>10.39</v>
      </c>
      <c r="E24" s="253">
        <v>105.51</v>
      </c>
      <c r="F24" s="254">
        <v>32</v>
      </c>
      <c r="G24" s="255">
        <v>4.2</v>
      </c>
      <c r="H24" s="254">
        <v>1096</v>
      </c>
      <c r="I24" s="254">
        <v>332</v>
      </c>
      <c r="J24" s="16">
        <v>44</v>
      </c>
      <c r="K24" s="2"/>
      <c r="Q24" s="2"/>
      <c r="R24" s="117"/>
      <c r="S24" s="118">
        <v>1975</v>
      </c>
      <c r="T24" s="119">
        <v>0.14230000000000001</v>
      </c>
      <c r="U24" s="120">
        <v>4.4299999999999999E-2</v>
      </c>
      <c r="V24" s="112"/>
      <c r="W24" s="112"/>
      <c r="X24" s="2"/>
      <c r="Y24" s="2"/>
      <c r="Z24" s="2"/>
      <c r="AA24" s="2"/>
    </row>
    <row r="25" spans="2:27">
      <c r="B25" s="14"/>
      <c r="C25" s="18" t="s">
        <v>580</v>
      </c>
      <c r="D25" s="253">
        <v>17.48</v>
      </c>
      <c r="E25" s="253">
        <v>93.8</v>
      </c>
      <c r="F25" s="255">
        <v>7.2</v>
      </c>
      <c r="G25" s="255">
        <v>3.6</v>
      </c>
      <c r="H25" s="254">
        <v>1640</v>
      </c>
      <c r="I25" s="254">
        <v>126</v>
      </c>
      <c r="J25" s="16">
        <v>63</v>
      </c>
      <c r="K25" s="2"/>
      <c r="Q25" s="2"/>
      <c r="R25" s="117"/>
      <c r="S25" s="118" t="s">
        <v>1094</v>
      </c>
      <c r="T25" s="119">
        <v>0.1406</v>
      </c>
      <c r="U25" s="120">
        <v>4.58E-2</v>
      </c>
      <c r="V25" s="112"/>
      <c r="W25" s="112"/>
      <c r="X25" s="2"/>
      <c r="Y25" s="2"/>
      <c r="Z25" s="2"/>
      <c r="AA25" s="2"/>
    </row>
    <row r="26" spans="2:27" ht="36.5">
      <c r="B26" s="8"/>
      <c r="C26" s="9"/>
      <c r="D26" s="260" t="s">
        <v>1095</v>
      </c>
      <c r="E26" s="260" t="s">
        <v>1071</v>
      </c>
      <c r="F26" s="260" t="s">
        <v>1072</v>
      </c>
      <c r="G26" s="260" t="s">
        <v>1073</v>
      </c>
      <c r="H26" s="260" t="s">
        <v>1096</v>
      </c>
      <c r="I26" s="260" t="s">
        <v>1097</v>
      </c>
      <c r="J26" s="28" t="s">
        <v>1098</v>
      </c>
      <c r="K26" s="2"/>
      <c r="Q26" s="2"/>
      <c r="R26" s="117"/>
      <c r="S26" s="118" t="s">
        <v>1099</v>
      </c>
      <c r="T26" s="119">
        <v>0.1389</v>
      </c>
      <c r="U26" s="120">
        <v>4.7300000000000002E-2</v>
      </c>
      <c r="V26" s="112"/>
      <c r="W26" s="112"/>
      <c r="X26" s="2"/>
      <c r="Y26" s="2"/>
      <c r="Z26" s="2"/>
      <c r="AA26" s="2"/>
    </row>
    <row r="27" spans="2:27" ht="26">
      <c r="B27" s="11"/>
      <c r="C27" s="261" t="s">
        <v>587</v>
      </c>
      <c r="D27" s="29"/>
      <c r="E27" s="30"/>
      <c r="F27" s="31"/>
      <c r="G27" s="31"/>
      <c r="H27" s="32"/>
      <c r="I27" s="32"/>
      <c r="J27" s="33"/>
      <c r="K27" s="2"/>
      <c r="Q27" s="2"/>
      <c r="R27" s="117"/>
      <c r="S27" s="118">
        <v>1980</v>
      </c>
      <c r="T27" s="119">
        <v>0.1326</v>
      </c>
      <c r="U27" s="120">
        <v>4.99E-2</v>
      </c>
      <c r="V27" s="112"/>
      <c r="W27" s="112"/>
      <c r="X27" s="2"/>
      <c r="Y27" s="2"/>
      <c r="Z27" s="2"/>
      <c r="AA27" s="2"/>
    </row>
    <row r="28" spans="2:27">
      <c r="B28" s="14"/>
      <c r="C28" s="15" t="s">
        <v>587</v>
      </c>
      <c r="D28" s="262">
        <v>1.026E-3</v>
      </c>
      <c r="E28" s="263">
        <v>53.06</v>
      </c>
      <c r="F28" s="264">
        <v>1</v>
      </c>
      <c r="G28" s="263">
        <v>0.1</v>
      </c>
      <c r="H28" s="265">
        <v>5.4440000000000002E-2</v>
      </c>
      <c r="I28" s="265">
        <v>1.0300000000000001E-3</v>
      </c>
      <c r="J28" s="34">
        <v>1E-4</v>
      </c>
      <c r="K28" s="2" t="s">
        <v>484</v>
      </c>
      <c r="Q28" s="2"/>
      <c r="R28" s="117"/>
      <c r="S28" s="118">
        <v>1981</v>
      </c>
      <c r="T28" s="119">
        <v>8.0199999999999994E-2</v>
      </c>
      <c r="U28" s="120">
        <v>6.2600000000000003E-2</v>
      </c>
      <c r="V28" s="112"/>
      <c r="W28" s="112"/>
      <c r="X28" s="2"/>
      <c r="Y28" s="2"/>
      <c r="Z28" s="2"/>
      <c r="AA28" s="2"/>
    </row>
    <row r="29" spans="2:27">
      <c r="B29" s="11"/>
      <c r="C29" s="35" t="s">
        <v>1100</v>
      </c>
      <c r="D29" s="36"/>
      <c r="E29" s="36"/>
      <c r="F29" s="36"/>
      <c r="G29" s="36"/>
      <c r="H29" s="37"/>
      <c r="I29" s="38"/>
      <c r="J29" s="39"/>
      <c r="K29" s="2"/>
      <c r="Q29" s="2"/>
      <c r="R29" s="117"/>
      <c r="S29" s="118">
        <v>1982</v>
      </c>
      <c r="T29" s="119">
        <v>7.9500000000000001E-2</v>
      </c>
      <c r="U29" s="120">
        <v>6.2700000000000006E-2</v>
      </c>
      <c r="V29" s="112"/>
      <c r="W29" s="112"/>
      <c r="X29" s="2"/>
      <c r="Y29" s="2"/>
      <c r="Z29" s="2"/>
      <c r="AA29" s="2"/>
    </row>
    <row r="30" spans="2:27">
      <c r="B30" s="14"/>
      <c r="C30" s="18" t="s">
        <v>593</v>
      </c>
      <c r="D30" s="262">
        <v>9.2E-5</v>
      </c>
      <c r="E30" s="253">
        <v>274.32</v>
      </c>
      <c r="F30" s="266">
        <v>2.2000000000000002E-2</v>
      </c>
      <c r="G30" s="253">
        <v>0.1</v>
      </c>
      <c r="H30" s="265">
        <v>2.5239999999999999E-2</v>
      </c>
      <c r="I30" s="262">
        <v>1.9999999999999999E-6</v>
      </c>
      <c r="J30" s="40">
        <v>9.0000000000000002E-6</v>
      </c>
      <c r="K30" s="2"/>
      <c r="Q30" s="2"/>
      <c r="R30" s="117"/>
      <c r="S30" s="118">
        <v>1983</v>
      </c>
      <c r="T30" s="119">
        <v>7.8200000000000006E-2</v>
      </c>
      <c r="U30" s="120">
        <v>6.3E-2</v>
      </c>
      <c r="V30" s="112"/>
      <c r="W30" s="112"/>
      <c r="X30" s="2"/>
      <c r="Y30" s="2"/>
      <c r="Z30" s="2"/>
      <c r="AA30" s="2"/>
    </row>
    <row r="31" spans="2:27">
      <c r="B31" s="14"/>
      <c r="C31" s="18" t="s">
        <v>597</v>
      </c>
      <c r="D31" s="262">
        <v>5.9900000000000003E-4</v>
      </c>
      <c r="E31" s="253">
        <v>46.85</v>
      </c>
      <c r="F31" s="253">
        <v>0.48</v>
      </c>
      <c r="G31" s="253">
        <v>0.1</v>
      </c>
      <c r="H31" s="265">
        <v>2.8060000000000002E-2</v>
      </c>
      <c r="I31" s="262">
        <v>2.8800000000000001E-4</v>
      </c>
      <c r="J31" s="40">
        <v>6.0000000000000002E-5</v>
      </c>
      <c r="K31" s="2"/>
      <c r="Q31" s="2"/>
      <c r="R31" s="117"/>
      <c r="S31" s="118" t="s">
        <v>1101</v>
      </c>
      <c r="T31" s="119">
        <v>7.0400000000000004E-2</v>
      </c>
      <c r="U31" s="120">
        <v>6.4699999999999994E-2</v>
      </c>
      <c r="V31" s="112"/>
      <c r="W31" s="112"/>
      <c r="X31" s="2"/>
      <c r="Y31" s="2"/>
      <c r="Z31" s="2"/>
      <c r="AA31" s="2"/>
    </row>
    <row r="32" spans="2:27">
      <c r="B32" s="14"/>
      <c r="C32" s="18" t="s">
        <v>601</v>
      </c>
      <c r="D32" s="262">
        <v>1.3879999999999999E-3</v>
      </c>
      <c r="E32" s="267">
        <v>59</v>
      </c>
      <c r="F32" s="255">
        <v>3</v>
      </c>
      <c r="G32" s="253">
        <v>0.6</v>
      </c>
      <c r="H32" s="265">
        <v>8.1890000000000004E-2</v>
      </c>
      <c r="I32" s="262">
        <v>4.1640000000000002E-3</v>
      </c>
      <c r="J32" s="40">
        <v>8.3299999999999997E-4</v>
      </c>
      <c r="K32" s="2"/>
      <c r="Q32" s="2"/>
      <c r="R32" s="117"/>
      <c r="S32" s="268">
        <v>1994</v>
      </c>
      <c r="T32" s="269">
        <v>5.3100000000000001E-2</v>
      </c>
      <c r="U32" s="121">
        <v>5.6000000000000001E-2</v>
      </c>
      <c r="V32" s="112"/>
      <c r="W32" s="112"/>
      <c r="X32" s="2"/>
      <c r="Y32" s="2"/>
      <c r="Z32" s="2"/>
      <c r="AA32" s="2"/>
    </row>
    <row r="33" spans="2:27">
      <c r="B33" s="14"/>
      <c r="C33" s="18" t="s">
        <v>606</v>
      </c>
      <c r="D33" s="262">
        <v>2.516E-3</v>
      </c>
      <c r="E33" s="267">
        <v>61.46</v>
      </c>
      <c r="F33" s="270">
        <v>3</v>
      </c>
      <c r="G33" s="257">
        <v>0.6</v>
      </c>
      <c r="H33" s="265">
        <v>0.15462999999999999</v>
      </c>
      <c r="I33" s="262">
        <v>7.548E-3</v>
      </c>
      <c r="J33" s="40">
        <v>1.5100000000000001E-3</v>
      </c>
      <c r="K33" s="41"/>
      <c r="Q33" s="2"/>
      <c r="R33" s="117"/>
      <c r="S33" s="268">
        <v>1995</v>
      </c>
      <c r="T33" s="269">
        <v>3.5799999999999998E-2</v>
      </c>
      <c r="U33" s="121">
        <v>4.7300000000000002E-2</v>
      </c>
      <c r="V33" s="112"/>
      <c r="W33" s="112"/>
      <c r="X33" s="2"/>
      <c r="Y33" s="2"/>
      <c r="Z33" s="2"/>
      <c r="AA33" s="2"/>
    </row>
    <row r="34" spans="2:27">
      <c r="B34" s="11"/>
      <c r="C34" s="20" t="s">
        <v>1102</v>
      </c>
      <c r="D34" s="36"/>
      <c r="E34" s="36"/>
      <c r="F34" s="42"/>
      <c r="G34" s="42"/>
      <c r="H34" s="38"/>
      <c r="I34" s="38"/>
      <c r="J34" s="39"/>
      <c r="K34" s="2"/>
      <c r="Q34" s="2"/>
      <c r="R34" s="117"/>
      <c r="S34" s="268">
        <v>1996</v>
      </c>
      <c r="T34" s="269">
        <v>2.7199999999999998E-2</v>
      </c>
      <c r="U34" s="121">
        <v>4.2599999999999999E-2</v>
      </c>
      <c r="V34" s="112"/>
      <c r="W34" s="112"/>
      <c r="X34" s="2"/>
      <c r="Y34" s="2"/>
      <c r="Z34" s="2"/>
      <c r="AA34" s="2"/>
    </row>
    <row r="35" spans="2:27">
      <c r="B35" s="14"/>
      <c r="C35" s="43" t="s">
        <v>612</v>
      </c>
      <c r="D35" s="271">
        <v>4.8500000000000003E-4</v>
      </c>
      <c r="E35" s="272">
        <v>52.07</v>
      </c>
      <c r="F35" s="273">
        <v>3.2</v>
      </c>
      <c r="G35" s="272">
        <v>0.63</v>
      </c>
      <c r="H35" s="262">
        <v>2.5253999999999999E-2</v>
      </c>
      <c r="I35" s="262">
        <v>1.552E-3</v>
      </c>
      <c r="J35" s="40">
        <v>3.0600000000000001E-4</v>
      </c>
      <c r="K35" s="2"/>
      <c r="Q35" s="2"/>
      <c r="R35" s="117"/>
      <c r="S35" s="268">
        <v>1997</v>
      </c>
      <c r="T35" s="269">
        <v>2.6800000000000001E-2</v>
      </c>
      <c r="U35" s="121">
        <v>4.2200000000000001E-2</v>
      </c>
      <c r="V35" s="112"/>
      <c r="W35" s="112"/>
      <c r="X35" s="2"/>
      <c r="Y35" s="2"/>
      <c r="Z35" s="2"/>
      <c r="AA35" s="2"/>
    </row>
    <row r="36" spans="2:27">
      <c r="B36" s="14"/>
      <c r="C36" s="43" t="s">
        <v>616</v>
      </c>
      <c r="D36" s="271">
        <v>6.5499999999999998E-4</v>
      </c>
      <c r="E36" s="272">
        <v>52.07</v>
      </c>
      <c r="F36" s="273">
        <v>3.2</v>
      </c>
      <c r="G36" s="272">
        <v>0.63</v>
      </c>
      <c r="H36" s="262">
        <v>3.4105999999999997E-2</v>
      </c>
      <c r="I36" s="262">
        <v>2.0960000000000002E-3</v>
      </c>
      <c r="J36" s="40">
        <v>4.1300000000000001E-4</v>
      </c>
      <c r="K36" s="2"/>
      <c r="Q36" s="2"/>
      <c r="R36" s="117"/>
      <c r="S36" s="268">
        <v>1998</v>
      </c>
      <c r="T36" s="274">
        <v>2.41E-2</v>
      </c>
      <c r="U36" s="122">
        <v>3.7900000000000003E-2</v>
      </c>
      <c r="V36" s="112"/>
      <c r="W36" s="112"/>
      <c r="X36" s="2"/>
      <c r="Y36" s="2"/>
      <c r="Z36" s="2"/>
      <c r="AA36" s="2"/>
    </row>
    <row r="37" spans="2:27" ht="36.5">
      <c r="B37" s="8"/>
      <c r="C37" s="9"/>
      <c r="D37" s="260" t="s">
        <v>1103</v>
      </c>
      <c r="E37" s="260" t="s">
        <v>1071</v>
      </c>
      <c r="F37" s="260" t="s">
        <v>1072</v>
      </c>
      <c r="G37" s="260" t="s">
        <v>1073</v>
      </c>
      <c r="H37" s="260" t="s">
        <v>1104</v>
      </c>
      <c r="I37" s="260" t="s">
        <v>1105</v>
      </c>
      <c r="J37" s="28" t="s">
        <v>1106</v>
      </c>
      <c r="K37" s="2"/>
      <c r="Q37" s="2"/>
      <c r="R37" s="117"/>
      <c r="S37" s="268">
        <v>1999</v>
      </c>
      <c r="T37" s="274">
        <v>2.1600000000000001E-2</v>
      </c>
      <c r="U37" s="122">
        <v>3.3700000000000001E-2</v>
      </c>
      <c r="V37" s="112"/>
      <c r="W37" s="112"/>
      <c r="X37" s="2"/>
      <c r="Y37" s="2"/>
      <c r="Z37" s="2"/>
      <c r="AA37" s="2"/>
    </row>
    <row r="38" spans="2:27">
      <c r="B38" s="44"/>
      <c r="C38" s="275" t="s">
        <v>1107</v>
      </c>
      <c r="D38" s="45"/>
      <c r="E38" s="45"/>
      <c r="F38" s="45"/>
      <c r="G38" s="45"/>
      <c r="H38" s="45"/>
      <c r="I38" s="45"/>
      <c r="J38" s="46"/>
      <c r="K38" s="2"/>
      <c r="Q38" s="2"/>
      <c r="R38" s="117"/>
      <c r="S38" s="268">
        <v>2000</v>
      </c>
      <c r="T38" s="274">
        <v>1.78E-2</v>
      </c>
      <c r="U38" s="122">
        <v>2.7300000000000001E-2</v>
      </c>
      <c r="V38" s="112"/>
      <c r="W38" s="112"/>
      <c r="X38" s="2"/>
      <c r="Y38" s="2"/>
      <c r="Z38" s="2"/>
      <c r="AA38" s="2"/>
    </row>
    <row r="39" spans="2:27">
      <c r="B39" s="14"/>
      <c r="C39" s="18" t="s">
        <v>621</v>
      </c>
      <c r="D39" s="266">
        <v>0.158</v>
      </c>
      <c r="E39" s="253">
        <v>75.36</v>
      </c>
      <c r="F39" s="255">
        <v>3</v>
      </c>
      <c r="G39" s="253">
        <v>0.6</v>
      </c>
      <c r="H39" s="253">
        <v>11.91</v>
      </c>
      <c r="I39" s="253">
        <v>0.47</v>
      </c>
      <c r="J39" s="47">
        <v>0.09</v>
      </c>
      <c r="K39" s="2"/>
      <c r="Q39" s="2"/>
      <c r="R39" s="117"/>
      <c r="S39" s="268">
        <v>2001</v>
      </c>
      <c r="T39" s="274">
        <v>1.0999999999999999E-2</v>
      </c>
      <c r="U39" s="122">
        <v>1.5800000000000002E-2</v>
      </c>
      <c r="V39" s="112"/>
      <c r="W39" s="112"/>
      <c r="X39" s="2"/>
      <c r="Y39" s="2"/>
      <c r="Z39" s="2"/>
      <c r="AA39" s="2"/>
    </row>
    <row r="40" spans="2:27">
      <c r="B40" s="14"/>
      <c r="C40" s="48" t="s">
        <v>516</v>
      </c>
      <c r="D40" s="266">
        <v>0.12</v>
      </c>
      <c r="E40" s="253">
        <v>69.25</v>
      </c>
      <c r="F40" s="255">
        <v>3</v>
      </c>
      <c r="G40" s="253">
        <v>0.6</v>
      </c>
      <c r="H40" s="263">
        <v>8.31</v>
      </c>
      <c r="I40" s="263">
        <v>0.36</v>
      </c>
      <c r="J40" s="49">
        <v>7.0000000000000007E-2</v>
      </c>
      <c r="K40" s="2"/>
      <c r="Q40" s="2"/>
      <c r="R40" s="117"/>
      <c r="S40" s="268">
        <v>2002</v>
      </c>
      <c r="T40" s="274">
        <v>1.0699999999999999E-2</v>
      </c>
      <c r="U40" s="122">
        <v>1.5299999999999999E-2</v>
      </c>
      <c r="V40" s="112"/>
      <c r="W40" s="112"/>
      <c r="X40" s="2"/>
      <c r="Y40" s="2"/>
      <c r="Z40" s="2"/>
      <c r="AA40" s="2"/>
    </row>
    <row r="41" spans="2:27">
      <c r="B41" s="14"/>
      <c r="C41" s="18" t="s">
        <v>630</v>
      </c>
      <c r="D41" s="266">
        <v>0.10299999999999999</v>
      </c>
      <c r="E41" s="253">
        <v>64.77</v>
      </c>
      <c r="F41" s="255">
        <v>3</v>
      </c>
      <c r="G41" s="253">
        <v>0.6</v>
      </c>
      <c r="H41" s="253">
        <v>6.67</v>
      </c>
      <c r="I41" s="253">
        <v>0.31</v>
      </c>
      <c r="J41" s="47">
        <v>0.06</v>
      </c>
      <c r="K41" s="2"/>
      <c r="Q41" s="2"/>
      <c r="R41" s="117"/>
      <c r="S41" s="268">
        <v>2003</v>
      </c>
      <c r="T41" s="274">
        <v>1.15E-2</v>
      </c>
      <c r="U41" s="122">
        <v>1.3299999999999999E-2</v>
      </c>
      <c r="V41" s="112"/>
      <c r="W41" s="112"/>
      <c r="X41" s="2"/>
      <c r="Y41" s="2"/>
      <c r="Z41" s="2"/>
      <c r="AA41" s="2"/>
    </row>
    <row r="42" spans="2:27">
      <c r="B42" s="14"/>
      <c r="C42" s="18" t="s">
        <v>636</v>
      </c>
      <c r="D42" s="266">
        <v>0.105</v>
      </c>
      <c r="E42" s="253">
        <v>68.72</v>
      </c>
      <c r="F42" s="255">
        <v>3</v>
      </c>
      <c r="G42" s="253">
        <v>0.6</v>
      </c>
      <c r="H42" s="253">
        <v>7.22</v>
      </c>
      <c r="I42" s="253">
        <v>0.32</v>
      </c>
      <c r="J42" s="47">
        <v>0.06</v>
      </c>
      <c r="K42" s="2"/>
      <c r="Q42" s="2"/>
      <c r="R42" s="117"/>
      <c r="S42" s="268">
        <v>2004</v>
      </c>
      <c r="T42" s="274">
        <v>1.5699999999999999E-2</v>
      </c>
      <c r="U42" s="122">
        <v>6.3E-3</v>
      </c>
      <c r="V42" s="112"/>
      <c r="W42" s="112"/>
      <c r="X42" s="2"/>
      <c r="Y42" s="2"/>
      <c r="Z42" s="2"/>
      <c r="AA42" s="2"/>
    </row>
    <row r="43" spans="2:27">
      <c r="B43" s="14"/>
      <c r="C43" s="18" t="s">
        <v>642</v>
      </c>
      <c r="D43" s="266">
        <v>0.13800000000000001</v>
      </c>
      <c r="E43" s="253">
        <v>74.540000000000006</v>
      </c>
      <c r="F43" s="255">
        <v>3</v>
      </c>
      <c r="G43" s="253">
        <v>0.6</v>
      </c>
      <c r="H43" s="253">
        <v>10.29</v>
      </c>
      <c r="I43" s="253">
        <v>0.41</v>
      </c>
      <c r="J43" s="47">
        <v>0.08</v>
      </c>
      <c r="K43" s="2"/>
      <c r="Q43" s="2"/>
      <c r="R43" s="117"/>
      <c r="S43" s="268">
        <v>2005</v>
      </c>
      <c r="T43" s="274">
        <v>1.6400000000000001E-2</v>
      </c>
      <c r="U43" s="122">
        <v>5.1000000000000004E-3</v>
      </c>
      <c r="V43" s="112"/>
      <c r="W43" s="112"/>
      <c r="X43" s="2"/>
      <c r="Y43" s="2"/>
      <c r="Z43" s="2"/>
      <c r="AA43" s="2"/>
    </row>
    <row r="44" spans="2:27">
      <c r="B44" s="14"/>
      <c r="C44" s="18" t="s">
        <v>647</v>
      </c>
      <c r="D44" s="266">
        <v>0.13900000000000001</v>
      </c>
      <c r="E44" s="253">
        <v>73.25</v>
      </c>
      <c r="F44" s="255">
        <v>3</v>
      </c>
      <c r="G44" s="253">
        <v>0.6</v>
      </c>
      <c r="H44" s="253">
        <v>10.18</v>
      </c>
      <c r="I44" s="253">
        <v>0.42</v>
      </c>
      <c r="J44" s="47">
        <v>0.08</v>
      </c>
      <c r="K44" s="2"/>
      <c r="Q44" s="2"/>
      <c r="R44" s="117"/>
      <c r="S44" s="268">
        <v>2006</v>
      </c>
      <c r="T44" s="269">
        <v>1.61E-2</v>
      </c>
      <c r="U44" s="121">
        <v>5.7000000000000002E-3</v>
      </c>
      <c r="V44" s="112"/>
      <c r="W44" s="112"/>
      <c r="X44" s="2"/>
      <c r="Y44" s="2"/>
      <c r="Z44" s="2"/>
      <c r="AA44" s="2"/>
    </row>
    <row r="45" spans="2:27">
      <c r="B45" s="14"/>
      <c r="C45" s="48" t="s">
        <v>653</v>
      </c>
      <c r="D45" s="266">
        <v>0.13800000000000001</v>
      </c>
      <c r="E45" s="253">
        <v>73.959999999999994</v>
      </c>
      <c r="F45" s="255">
        <v>3</v>
      </c>
      <c r="G45" s="253">
        <v>0.6</v>
      </c>
      <c r="H45" s="263">
        <v>10.210000000000001</v>
      </c>
      <c r="I45" s="263">
        <v>0.41</v>
      </c>
      <c r="J45" s="49">
        <v>0.08</v>
      </c>
      <c r="K45" s="2"/>
      <c r="Q45" s="2"/>
      <c r="R45" s="117"/>
      <c r="S45" s="268">
        <v>2007</v>
      </c>
      <c r="T45" s="269">
        <v>1.7000000000000001E-2</v>
      </c>
      <c r="U45" s="121">
        <v>4.1000000000000003E-3</v>
      </c>
      <c r="V45" s="112"/>
      <c r="W45" s="112"/>
      <c r="X45" s="2"/>
      <c r="Y45" s="2"/>
      <c r="Z45" s="2"/>
      <c r="AA45" s="2"/>
    </row>
    <row r="46" spans="2:27">
      <c r="B46" s="14"/>
      <c r="C46" s="18" t="s">
        <v>660</v>
      </c>
      <c r="D46" s="266">
        <v>0.14599999999999999</v>
      </c>
      <c r="E46" s="253">
        <v>75.040000000000006</v>
      </c>
      <c r="F46" s="255">
        <v>3</v>
      </c>
      <c r="G46" s="253">
        <v>0.6</v>
      </c>
      <c r="H46" s="253">
        <v>10.96</v>
      </c>
      <c r="I46" s="253">
        <v>0.44</v>
      </c>
      <c r="J46" s="47">
        <v>0.09</v>
      </c>
      <c r="K46" s="2"/>
      <c r="Q46" s="2"/>
      <c r="R46" s="117"/>
      <c r="S46" s="268">
        <v>2008</v>
      </c>
      <c r="T46" s="269">
        <v>1.72E-2</v>
      </c>
      <c r="U46" s="121">
        <v>3.8E-3</v>
      </c>
      <c r="V46" s="112"/>
      <c r="W46" s="112"/>
      <c r="X46" s="2"/>
      <c r="Y46" s="2"/>
      <c r="Z46" s="2"/>
      <c r="AA46" s="2"/>
    </row>
    <row r="47" spans="2:27" ht="15" thickBot="1">
      <c r="B47" s="14"/>
      <c r="C47" s="18" t="s">
        <v>666</v>
      </c>
      <c r="D47" s="266">
        <v>6.8000000000000005E-2</v>
      </c>
      <c r="E47" s="253">
        <v>59.6</v>
      </c>
      <c r="F47" s="255">
        <v>3</v>
      </c>
      <c r="G47" s="253">
        <v>0.6</v>
      </c>
      <c r="H47" s="253">
        <v>4.05</v>
      </c>
      <c r="I47" s="253">
        <v>0.2</v>
      </c>
      <c r="J47" s="47">
        <v>0.04</v>
      </c>
      <c r="K47" s="2"/>
      <c r="Q47" s="2"/>
      <c r="R47" s="123"/>
      <c r="S47" s="124" t="s">
        <v>1108</v>
      </c>
      <c r="T47" s="125">
        <v>1.7299999999999999E-2</v>
      </c>
      <c r="U47" s="126">
        <v>3.5999999999999999E-3</v>
      </c>
      <c r="V47" s="112"/>
      <c r="W47" s="112"/>
      <c r="X47" s="2"/>
      <c r="Y47" s="2"/>
      <c r="Z47" s="2"/>
      <c r="AA47" s="2"/>
    </row>
    <row r="48" spans="2:27">
      <c r="B48" s="14"/>
      <c r="C48" s="18" t="s">
        <v>672</v>
      </c>
      <c r="D48" s="266">
        <v>5.8000000000000003E-2</v>
      </c>
      <c r="E48" s="253">
        <v>65.959999999999994</v>
      </c>
      <c r="F48" s="255">
        <v>3</v>
      </c>
      <c r="G48" s="253">
        <v>0.6</v>
      </c>
      <c r="H48" s="253">
        <v>3.83</v>
      </c>
      <c r="I48" s="253">
        <v>0.17</v>
      </c>
      <c r="J48" s="47">
        <v>0.03</v>
      </c>
      <c r="K48" s="2"/>
      <c r="Q48" s="2"/>
      <c r="R48" s="113" t="s">
        <v>1109</v>
      </c>
      <c r="S48" s="114" t="s">
        <v>1093</v>
      </c>
      <c r="T48" s="115">
        <v>0.1908</v>
      </c>
      <c r="U48" s="116">
        <v>2.18E-2</v>
      </c>
      <c r="V48" s="112"/>
      <c r="W48" s="112"/>
      <c r="X48" s="2"/>
      <c r="Y48" s="2"/>
      <c r="Z48" s="2"/>
      <c r="AA48" s="2"/>
    </row>
    <row r="49" spans="2:27">
      <c r="B49" s="14"/>
      <c r="C49" s="18" t="s">
        <v>678</v>
      </c>
      <c r="D49" s="266">
        <v>0.14799999999999999</v>
      </c>
      <c r="E49" s="253">
        <v>74.92</v>
      </c>
      <c r="F49" s="255">
        <v>3</v>
      </c>
      <c r="G49" s="253">
        <v>0.6</v>
      </c>
      <c r="H49" s="253">
        <v>11.09</v>
      </c>
      <c r="I49" s="253">
        <v>0.44</v>
      </c>
      <c r="J49" s="47">
        <v>0.09</v>
      </c>
      <c r="K49" s="2"/>
      <c r="Q49" s="2"/>
      <c r="R49" s="117" t="s">
        <v>1110</v>
      </c>
      <c r="S49" s="268">
        <v>1975</v>
      </c>
      <c r="T49" s="269">
        <v>0.16339999999999999</v>
      </c>
      <c r="U49" s="121">
        <v>5.1299999999999998E-2</v>
      </c>
      <c r="V49" s="112"/>
      <c r="W49" s="112"/>
      <c r="X49" s="2"/>
      <c r="Y49" s="2"/>
      <c r="Z49" s="2"/>
      <c r="AA49" s="2"/>
    </row>
    <row r="50" spans="2:27">
      <c r="B50" s="14"/>
      <c r="C50" s="18" t="s">
        <v>683</v>
      </c>
      <c r="D50" s="266">
        <v>9.9000000000000005E-2</v>
      </c>
      <c r="E50" s="253">
        <v>64.94</v>
      </c>
      <c r="F50" s="255">
        <v>3</v>
      </c>
      <c r="G50" s="253">
        <v>0.6</v>
      </c>
      <c r="H50" s="253">
        <v>6.43</v>
      </c>
      <c r="I50" s="253">
        <v>0.3</v>
      </c>
      <c r="J50" s="47">
        <v>0.06</v>
      </c>
      <c r="K50" s="2"/>
      <c r="Q50" s="2"/>
      <c r="R50" s="117"/>
      <c r="S50" s="268">
        <v>1976</v>
      </c>
      <c r="T50" s="269">
        <v>0.15939999999999999</v>
      </c>
      <c r="U50" s="121">
        <v>5.5500000000000001E-2</v>
      </c>
      <c r="V50" s="112"/>
      <c r="W50" s="112"/>
      <c r="X50" s="2"/>
      <c r="Y50" s="2"/>
      <c r="Z50" s="2"/>
      <c r="AA50" s="2"/>
    </row>
    <row r="51" spans="2:27">
      <c r="B51" s="14"/>
      <c r="C51" s="18" t="s">
        <v>688</v>
      </c>
      <c r="D51" s="266">
        <v>0.10299999999999999</v>
      </c>
      <c r="E51" s="253">
        <v>68.86</v>
      </c>
      <c r="F51" s="255">
        <v>3</v>
      </c>
      <c r="G51" s="253">
        <v>0.6</v>
      </c>
      <c r="H51" s="253">
        <v>7.09</v>
      </c>
      <c r="I51" s="253">
        <v>0.31</v>
      </c>
      <c r="J51" s="47">
        <v>0.06</v>
      </c>
      <c r="K51" s="2"/>
      <c r="Q51" s="2"/>
      <c r="R51" s="117"/>
      <c r="S51" s="268" t="s">
        <v>1111</v>
      </c>
      <c r="T51" s="269">
        <v>0.16139999999999999</v>
      </c>
      <c r="U51" s="121">
        <v>5.3400000000000003E-2</v>
      </c>
      <c r="V51" s="112"/>
      <c r="W51" s="112"/>
      <c r="X51" s="2"/>
      <c r="Y51" s="2"/>
      <c r="Z51" s="2"/>
      <c r="AA51" s="2"/>
    </row>
    <row r="52" spans="2:27">
      <c r="B52" s="14"/>
      <c r="C52" s="48" t="s">
        <v>693</v>
      </c>
      <c r="D52" s="266">
        <v>0.13500000000000001</v>
      </c>
      <c r="E52" s="253">
        <v>75.2</v>
      </c>
      <c r="F52" s="255">
        <v>3</v>
      </c>
      <c r="G52" s="253">
        <v>0.6</v>
      </c>
      <c r="H52" s="263">
        <v>10.15</v>
      </c>
      <c r="I52" s="263">
        <v>0.41</v>
      </c>
      <c r="J52" s="49">
        <v>0.08</v>
      </c>
      <c r="K52" s="2"/>
      <c r="Q52" s="2"/>
      <c r="R52" s="117"/>
      <c r="S52" s="268" t="s">
        <v>1112</v>
      </c>
      <c r="T52" s="269">
        <v>0.15939999999999999</v>
      </c>
      <c r="U52" s="121">
        <v>5.5500000000000001E-2</v>
      </c>
      <c r="V52" s="112"/>
      <c r="W52" s="112"/>
      <c r="X52" s="2"/>
      <c r="Y52" s="2"/>
      <c r="Z52" s="2"/>
      <c r="AA52" s="2"/>
    </row>
    <row r="53" spans="2:27">
      <c r="B53" s="14"/>
      <c r="C53" s="48" t="s">
        <v>697</v>
      </c>
      <c r="D53" s="266">
        <v>0.13500000000000001</v>
      </c>
      <c r="E53" s="253">
        <v>72.22</v>
      </c>
      <c r="F53" s="255">
        <v>3</v>
      </c>
      <c r="G53" s="253">
        <v>0.6</v>
      </c>
      <c r="H53" s="263">
        <v>9.75</v>
      </c>
      <c r="I53" s="263">
        <v>0.41</v>
      </c>
      <c r="J53" s="49">
        <v>0.08</v>
      </c>
      <c r="K53" s="2"/>
      <c r="Q53" s="2"/>
      <c r="R53" s="117"/>
      <c r="S53" s="268">
        <v>1981</v>
      </c>
      <c r="T53" s="269">
        <v>0.1479</v>
      </c>
      <c r="U53" s="121">
        <v>6.6000000000000003E-2</v>
      </c>
      <c r="V53" s="112"/>
      <c r="W53" s="112"/>
      <c r="X53" s="2"/>
      <c r="Y53" s="2"/>
      <c r="Z53" s="2"/>
      <c r="AA53" s="2"/>
    </row>
    <row r="54" spans="2:27">
      <c r="B54" s="14"/>
      <c r="C54" s="48" t="s">
        <v>701</v>
      </c>
      <c r="D54" s="266">
        <v>9.1999999999999998E-2</v>
      </c>
      <c r="E54" s="253">
        <v>61.71</v>
      </c>
      <c r="F54" s="255">
        <v>3</v>
      </c>
      <c r="G54" s="253">
        <v>0.6</v>
      </c>
      <c r="H54" s="263">
        <v>5.68</v>
      </c>
      <c r="I54" s="263">
        <v>0.28000000000000003</v>
      </c>
      <c r="J54" s="49">
        <v>0.06</v>
      </c>
      <c r="K54" s="2"/>
      <c r="Q54" s="2"/>
      <c r="R54" s="117"/>
      <c r="S54" s="268">
        <v>1982</v>
      </c>
      <c r="T54" s="269">
        <v>0.14419999999999999</v>
      </c>
      <c r="U54" s="121">
        <v>6.8099999999999994E-2</v>
      </c>
      <c r="V54" s="112"/>
      <c r="W54" s="112"/>
      <c r="X54" s="2"/>
      <c r="Y54" s="2"/>
      <c r="Z54" s="2"/>
      <c r="AA54" s="2"/>
    </row>
    <row r="55" spans="2:27">
      <c r="B55" s="14"/>
      <c r="C55" s="18" t="s">
        <v>705</v>
      </c>
      <c r="D55" s="266">
        <v>0.14399999999999999</v>
      </c>
      <c r="E55" s="253">
        <v>74.27</v>
      </c>
      <c r="F55" s="255">
        <v>3</v>
      </c>
      <c r="G55" s="253">
        <v>0.6</v>
      </c>
      <c r="H55" s="253">
        <v>10.69</v>
      </c>
      <c r="I55" s="253">
        <v>0.43</v>
      </c>
      <c r="J55" s="47">
        <v>0.09</v>
      </c>
      <c r="K55" s="2"/>
      <c r="Q55" s="2"/>
      <c r="R55" s="117"/>
      <c r="S55" s="268">
        <v>1983</v>
      </c>
      <c r="T55" s="269">
        <v>0.1368</v>
      </c>
      <c r="U55" s="121">
        <v>7.22E-2</v>
      </c>
      <c r="V55" s="112"/>
      <c r="W55" s="112"/>
      <c r="X55" s="2"/>
      <c r="Y55" s="2"/>
      <c r="Z55" s="2"/>
      <c r="AA55" s="2"/>
    </row>
    <row r="56" spans="2:27">
      <c r="B56" s="14"/>
      <c r="C56" s="48" t="s">
        <v>434</v>
      </c>
      <c r="D56" s="266">
        <v>0.125</v>
      </c>
      <c r="E56" s="253">
        <v>70.22</v>
      </c>
      <c r="F56" s="255">
        <v>3</v>
      </c>
      <c r="G56" s="253">
        <v>0.6</v>
      </c>
      <c r="H56" s="263">
        <v>8.7799999999999994</v>
      </c>
      <c r="I56" s="263">
        <v>0.38</v>
      </c>
      <c r="J56" s="49">
        <v>0.08</v>
      </c>
      <c r="K56" s="2"/>
      <c r="Q56" s="2"/>
      <c r="R56" s="117"/>
      <c r="S56" s="268">
        <v>1984</v>
      </c>
      <c r="T56" s="269">
        <v>0.12939999999999999</v>
      </c>
      <c r="U56" s="121">
        <v>7.6399999999999996E-2</v>
      </c>
      <c r="V56" s="112"/>
      <c r="W56" s="112"/>
      <c r="X56" s="2"/>
      <c r="Y56" s="2"/>
      <c r="Z56" s="2"/>
      <c r="AA56" s="2"/>
    </row>
    <row r="57" spans="2:27">
      <c r="B57" s="14"/>
      <c r="C57" s="18" t="s">
        <v>710</v>
      </c>
      <c r="D57" s="266">
        <v>0.125</v>
      </c>
      <c r="E57" s="253">
        <v>68.02</v>
      </c>
      <c r="F57" s="255">
        <v>3</v>
      </c>
      <c r="G57" s="253">
        <v>0.6</v>
      </c>
      <c r="H57" s="253">
        <v>8.5</v>
      </c>
      <c r="I57" s="253">
        <v>0.38</v>
      </c>
      <c r="J57" s="47">
        <v>0.08</v>
      </c>
      <c r="K57" s="2"/>
      <c r="Q57" s="2"/>
      <c r="R57" s="117"/>
      <c r="S57" s="268">
        <v>1985</v>
      </c>
      <c r="T57" s="269">
        <v>0.122</v>
      </c>
      <c r="U57" s="121">
        <v>8.0600000000000005E-2</v>
      </c>
      <c r="V57" s="112"/>
      <c r="W57" s="112"/>
      <c r="X57" s="2"/>
      <c r="Y57" s="2"/>
      <c r="Z57" s="2"/>
      <c r="AA57" s="2"/>
    </row>
    <row r="58" spans="2:27">
      <c r="B58" s="14"/>
      <c r="C58" s="18" t="s">
        <v>714</v>
      </c>
      <c r="D58" s="266">
        <v>0.11</v>
      </c>
      <c r="E58" s="253">
        <v>66.88</v>
      </c>
      <c r="F58" s="255">
        <v>3</v>
      </c>
      <c r="G58" s="253">
        <v>0.6</v>
      </c>
      <c r="H58" s="253">
        <v>7.36</v>
      </c>
      <c r="I58" s="253">
        <v>0.33</v>
      </c>
      <c r="J58" s="47">
        <v>7.0000000000000007E-2</v>
      </c>
      <c r="K58" s="2"/>
      <c r="Q58" s="2"/>
      <c r="R58" s="117"/>
      <c r="S58" s="268">
        <v>1986</v>
      </c>
      <c r="T58" s="269">
        <v>0.11459999999999999</v>
      </c>
      <c r="U58" s="121">
        <v>8.48E-2</v>
      </c>
      <c r="V58" s="112"/>
      <c r="W58" s="112"/>
      <c r="X58" s="2"/>
      <c r="Y58" s="2"/>
      <c r="Z58" s="2"/>
      <c r="AA58" s="2"/>
    </row>
    <row r="59" spans="2:27">
      <c r="B59" s="14"/>
      <c r="C59" s="18" t="s">
        <v>718</v>
      </c>
      <c r="D59" s="266">
        <v>0.13900000000000001</v>
      </c>
      <c r="E59" s="253">
        <v>76.22</v>
      </c>
      <c r="F59" s="255">
        <v>3</v>
      </c>
      <c r="G59" s="253">
        <v>0.6</v>
      </c>
      <c r="H59" s="253">
        <v>10.59</v>
      </c>
      <c r="I59" s="253">
        <v>0.42</v>
      </c>
      <c r="J59" s="47">
        <v>0.08</v>
      </c>
      <c r="K59" s="2"/>
      <c r="Q59" s="2"/>
      <c r="R59" s="117"/>
      <c r="S59" s="268" t="s">
        <v>1113</v>
      </c>
      <c r="T59" s="269">
        <v>8.1299999999999997E-2</v>
      </c>
      <c r="U59" s="121">
        <v>0.10349999999999999</v>
      </c>
      <c r="V59" s="112"/>
      <c r="W59" s="112"/>
      <c r="X59" s="2"/>
      <c r="Y59" s="2"/>
      <c r="Z59" s="2"/>
      <c r="AA59" s="2"/>
    </row>
    <row r="60" spans="2:27">
      <c r="B60" s="14"/>
      <c r="C60" s="18" t="s">
        <v>722</v>
      </c>
      <c r="D60" s="266">
        <v>0.11</v>
      </c>
      <c r="E60" s="253">
        <v>70.02</v>
      </c>
      <c r="F60" s="255">
        <v>3</v>
      </c>
      <c r="G60" s="253">
        <v>0.6</v>
      </c>
      <c r="H60" s="253">
        <v>7.7</v>
      </c>
      <c r="I60" s="253">
        <v>0.33</v>
      </c>
      <c r="J60" s="47">
        <v>7.0000000000000007E-2</v>
      </c>
      <c r="K60" s="2"/>
      <c r="Q60" s="2"/>
      <c r="R60" s="117"/>
      <c r="S60" s="268">
        <v>1994</v>
      </c>
      <c r="T60" s="269">
        <v>6.4600000000000005E-2</v>
      </c>
      <c r="U60" s="121">
        <v>9.8199999999999996E-2</v>
      </c>
      <c r="V60" s="112"/>
      <c r="W60" s="112"/>
      <c r="X60" s="2"/>
      <c r="Y60" s="2"/>
      <c r="Z60" s="2"/>
      <c r="AA60" s="2"/>
    </row>
    <row r="61" spans="2:27">
      <c r="B61" s="14"/>
      <c r="C61" s="18" t="s">
        <v>725</v>
      </c>
      <c r="D61" s="266">
        <v>0.125</v>
      </c>
      <c r="E61" s="253">
        <v>71.02</v>
      </c>
      <c r="F61" s="255">
        <v>3</v>
      </c>
      <c r="G61" s="253">
        <v>0.6</v>
      </c>
      <c r="H61" s="253">
        <v>8.8800000000000008</v>
      </c>
      <c r="I61" s="253">
        <v>0.38</v>
      </c>
      <c r="J61" s="47">
        <v>0.08</v>
      </c>
      <c r="K61" s="2"/>
      <c r="Q61" s="2"/>
      <c r="R61" s="117"/>
      <c r="S61" s="268">
        <v>1995</v>
      </c>
      <c r="T61" s="269">
        <v>5.1700000000000003E-2</v>
      </c>
      <c r="U61" s="121">
        <v>9.0800000000000006E-2</v>
      </c>
      <c r="V61" s="112"/>
      <c r="W61" s="112"/>
      <c r="X61" s="2"/>
      <c r="Y61" s="2"/>
      <c r="Z61" s="2"/>
      <c r="AA61" s="2"/>
    </row>
    <row r="62" spans="2:27">
      <c r="B62" s="14"/>
      <c r="C62" s="18" t="s">
        <v>730</v>
      </c>
      <c r="D62" s="266">
        <v>0.14299999999999999</v>
      </c>
      <c r="E62" s="253">
        <v>102.41</v>
      </c>
      <c r="F62" s="255">
        <v>3</v>
      </c>
      <c r="G62" s="253">
        <v>0.6</v>
      </c>
      <c r="H62" s="253">
        <v>14.64</v>
      </c>
      <c r="I62" s="253">
        <v>0.43</v>
      </c>
      <c r="J62" s="47">
        <v>0.09</v>
      </c>
      <c r="K62" s="2"/>
      <c r="Q62" s="2"/>
      <c r="R62" s="117"/>
      <c r="S62" s="268">
        <v>1996</v>
      </c>
      <c r="T62" s="269">
        <v>4.5199999999999997E-2</v>
      </c>
      <c r="U62" s="121">
        <v>8.7099999999999997E-2</v>
      </c>
      <c r="V62" s="112"/>
      <c r="W62" s="112"/>
      <c r="X62" s="2"/>
      <c r="Y62" s="2"/>
      <c r="Z62" s="2"/>
      <c r="AA62" s="2"/>
    </row>
    <row r="63" spans="2:27">
      <c r="B63" s="14"/>
      <c r="C63" s="18" t="s">
        <v>733</v>
      </c>
      <c r="D63" s="266">
        <v>9.0999999999999998E-2</v>
      </c>
      <c r="E63" s="253">
        <v>62.87</v>
      </c>
      <c r="F63" s="255">
        <v>3</v>
      </c>
      <c r="G63" s="253">
        <v>0.6</v>
      </c>
      <c r="H63" s="253">
        <v>5.72</v>
      </c>
      <c r="I63" s="253">
        <v>0.27</v>
      </c>
      <c r="J63" s="47">
        <v>0.05</v>
      </c>
      <c r="K63" s="50"/>
      <c r="Q63" s="2"/>
      <c r="R63" s="117"/>
      <c r="S63" s="268">
        <v>1997</v>
      </c>
      <c r="T63" s="269">
        <v>4.5199999999999997E-2</v>
      </c>
      <c r="U63" s="121">
        <v>8.7099999999999997E-2</v>
      </c>
      <c r="V63" s="112"/>
      <c r="W63" s="112"/>
      <c r="X63" s="2"/>
      <c r="Y63" s="2"/>
      <c r="Z63" s="2"/>
      <c r="AA63" s="2"/>
    </row>
    <row r="64" spans="2:27">
      <c r="B64" s="14"/>
      <c r="C64" s="18" t="s">
        <v>736</v>
      </c>
      <c r="D64" s="266">
        <v>9.0999999999999998E-2</v>
      </c>
      <c r="E64" s="257">
        <v>67.77</v>
      </c>
      <c r="F64" s="255">
        <v>3</v>
      </c>
      <c r="G64" s="253">
        <v>0.6</v>
      </c>
      <c r="H64" s="253">
        <v>6.17</v>
      </c>
      <c r="I64" s="253">
        <v>0.27</v>
      </c>
      <c r="J64" s="47">
        <v>0.05</v>
      </c>
      <c r="K64" s="2"/>
      <c r="Q64" s="2"/>
      <c r="R64" s="117"/>
      <c r="S64" s="268">
        <v>1998</v>
      </c>
      <c r="T64" s="274">
        <v>4.1200000000000001E-2</v>
      </c>
      <c r="U64" s="122">
        <v>7.7799999999999994E-2</v>
      </c>
      <c r="V64" s="112"/>
      <c r="W64" s="112"/>
      <c r="X64" s="2"/>
      <c r="Y64" s="2"/>
      <c r="Z64" s="2"/>
      <c r="AA64" s="2"/>
    </row>
    <row r="65" spans="2:27">
      <c r="B65" s="14"/>
      <c r="C65" s="18" t="s">
        <v>738</v>
      </c>
      <c r="D65" s="266">
        <v>0.14000000000000001</v>
      </c>
      <c r="E65" s="253">
        <v>72.930000000000007</v>
      </c>
      <c r="F65" s="255">
        <v>3</v>
      </c>
      <c r="G65" s="253">
        <v>0.6</v>
      </c>
      <c r="H65" s="253">
        <v>10.210000000000001</v>
      </c>
      <c r="I65" s="253">
        <v>0.42</v>
      </c>
      <c r="J65" s="47">
        <v>0.08</v>
      </c>
      <c r="K65" s="2"/>
      <c r="Q65" s="2"/>
      <c r="R65" s="117"/>
      <c r="S65" s="268">
        <v>1999</v>
      </c>
      <c r="T65" s="274">
        <v>3.3300000000000003E-2</v>
      </c>
      <c r="U65" s="122">
        <v>5.9299999999999999E-2</v>
      </c>
      <c r="V65" s="112"/>
      <c r="W65" s="112"/>
      <c r="X65" s="2"/>
      <c r="Y65" s="2"/>
      <c r="Z65" s="2"/>
      <c r="AA65" s="2"/>
    </row>
    <row r="66" spans="2:27">
      <c r="B66" s="14"/>
      <c r="C66" s="48" t="s">
        <v>742</v>
      </c>
      <c r="D66" s="266">
        <v>0.15</v>
      </c>
      <c r="E66" s="253">
        <v>75.099999999999994</v>
      </c>
      <c r="F66" s="255">
        <v>3</v>
      </c>
      <c r="G66" s="253">
        <v>0.6</v>
      </c>
      <c r="H66" s="263">
        <v>11.27</v>
      </c>
      <c r="I66" s="263">
        <v>0.45</v>
      </c>
      <c r="J66" s="49">
        <v>0.09</v>
      </c>
      <c r="K66" s="2"/>
      <c r="Q66" s="2"/>
      <c r="R66" s="117"/>
      <c r="S66" s="268">
        <v>2000</v>
      </c>
      <c r="T66" s="274">
        <v>3.4000000000000002E-2</v>
      </c>
      <c r="U66" s="122">
        <v>6.0699999999999997E-2</v>
      </c>
      <c r="V66" s="112"/>
      <c r="W66" s="112"/>
      <c r="X66" s="2"/>
      <c r="Y66" s="2"/>
      <c r="Z66" s="2"/>
      <c r="AA66" s="2"/>
    </row>
    <row r="67" spans="2:27">
      <c r="B67" s="14"/>
      <c r="C67" s="18" t="s">
        <v>746</v>
      </c>
      <c r="D67" s="266">
        <v>0.125</v>
      </c>
      <c r="E67" s="253">
        <v>72.34</v>
      </c>
      <c r="F67" s="255">
        <v>3</v>
      </c>
      <c r="G67" s="253">
        <v>0.6</v>
      </c>
      <c r="H67" s="253">
        <v>9.0399999999999991</v>
      </c>
      <c r="I67" s="253">
        <v>0.38</v>
      </c>
      <c r="J67" s="47">
        <v>0.08</v>
      </c>
      <c r="K67" s="2"/>
      <c r="Q67" s="2"/>
      <c r="R67" s="117"/>
      <c r="S67" s="268">
        <v>2001</v>
      </c>
      <c r="T67" s="274">
        <v>2.2100000000000002E-2</v>
      </c>
      <c r="U67" s="122">
        <v>3.2800000000000003E-2</v>
      </c>
      <c r="V67" s="112"/>
      <c r="W67" s="112"/>
      <c r="X67" s="2"/>
      <c r="Y67" s="2"/>
      <c r="Z67" s="2"/>
      <c r="AA67" s="2"/>
    </row>
    <row r="68" spans="2:27">
      <c r="B68" s="14"/>
      <c r="C68" s="18" t="s">
        <v>750</v>
      </c>
      <c r="D68" s="266">
        <v>0.13900000000000001</v>
      </c>
      <c r="E68" s="253">
        <v>74.540000000000006</v>
      </c>
      <c r="F68" s="255">
        <v>3</v>
      </c>
      <c r="G68" s="253">
        <v>0.6</v>
      </c>
      <c r="H68" s="253">
        <v>10.36</v>
      </c>
      <c r="I68" s="253">
        <v>0.42</v>
      </c>
      <c r="J68" s="47">
        <v>0.08</v>
      </c>
      <c r="K68" s="2"/>
      <c r="Q68" s="2"/>
      <c r="R68" s="117"/>
      <c r="S68" s="268">
        <v>2002</v>
      </c>
      <c r="T68" s="274">
        <v>2.4199999999999999E-2</v>
      </c>
      <c r="U68" s="122">
        <v>3.78E-2</v>
      </c>
      <c r="V68" s="112"/>
      <c r="W68" s="112"/>
      <c r="X68" s="2"/>
      <c r="Y68" s="2"/>
      <c r="Z68" s="2"/>
      <c r="AA68" s="2"/>
    </row>
    <row r="69" spans="2:27">
      <c r="B69" s="14"/>
      <c r="C69" s="18" t="s">
        <v>752</v>
      </c>
      <c r="D69" s="266">
        <v>0.13800000000000001</v>
      </c>
      <c r="E69" s="253">
        <v>74</v>
      </c>
      <c r="F69" s="255">
        <v>3</v>
      </c>
      <c r="G69" s="253">
        <v>0.6</v>
      </c>
      <c r="H69" s="253">
        <v>10.210000000000001</v>
      </c>
      <c r="I69" s="253">
        <v>0.41</v>
      </c>
      <c r="J69" s="47">
        <v>0.08</v>
      </c>
      <c r="K69" s="2"/>
      <c r="Q69" s="2"/>
      <c r="R69" s="117"/>
      <c r="S69" s="268">
        <v>2003</v>
      </c>
      <c r="T69" s="274">
        <v>2.2499999999999999E-2</v>
      </c>
      <c r="U69" s="122">
        <v>3.3000000000000002E-2</v>
      </c>
      <c r="V69" s="112"/>
      <c r="W69" s="112"/>
      <c r="X69" s="2"/>
      <c r="Y69" s="2"/>
      <c r="Z69" s="2"/>
      <c r="AA69" s="2"/>
    </row>
    <row r="70" spans="2:27">
      <c r="B70" s="44"/>
      <c r="C70" s="275" t="s">
        <v>1114</v>
      </c>
      <c r="D70" s="45"/>
      <c r="E70" s="51"/>
      <c r="F70" s="45"/>
      <c r="G70" s="45"/>
      <c r="H70" s="52"/>
      <c r="I70" s="52"/>
      <c r="J70" s="53"/>
      <c r="K70" s="2"/>
      <c r="Q70" s="2"/>
      <c r="R70" s="117"/>
      <c r="S70" s="268">
        <v>2004</v>
      </c>
      <c r="T70" s="274">
        <v>1.6199999999999999E-2</v>
      </c>
      <c r="U70" s="122">
        <v>9.7999999999999997E-3</v>
      </c>
      <c r="V70" s="112"/>
      <c r="W70" s="112"/>
      <c r="X70" s="2"/>
      <c r="Y70" s="2"/>
      <c r="Z70" s="2"/>
      <c r="AA70" s="2"/>
    </row>
    <row r="71" spans="2:27">
      <c r="B71" s="14"/>
      <c r="C71" s="48" t="s">
        <v>479</v>
      </c>
      <c r="D71" s="266">
        <v>0.128</v>
      </c>
      <c r="E71" s="253">
        <v>73.84</v>
      </c>
      <c r="F71" s="255">
        <v>1.1000000000000001</v>
      </c>
      <c r="G71" s="253">
        <v>0.11</v>
      </c>
      <c r="H71" s="263">
        <v>9.4499999999999993</v>
      </c>
      <c r="I71" s="263">
        <v>0.14000000000000001</v>
      </c>
      <c r="J71" s="49">
        <v>0.01</v>
      </c>
      <c r="K71" s="2"/>
      <c r="Q71" s="2"/>
      <c r="R71" s="117"/>
      <c r="S71" s="268">
        <v>2005</v>
      </c>
      <c r="T71" s="274">
        <v>1.6E-2</v>
      </c>
      <c r="U71" s="122">
        <v>8.0999999999999996E-3</v>
      </c>
      <c r="V71" s="112"/>
      <c r="W71" s="112"/>
      <c r="X71" s="2"/>
      <c r="Y71" s="2"/>
      <c r="Z71" s="2"/>
      <c r="AA71" s="2"/>
    </row>
    <row r="72" spans="2:27">
      <c r="B72" s="14"/>
      <c r="C72" s="48" t="s">
        <v>500</v>
      </c>
      <c r="D72" s="266">
        <v>8.4000000000000005E-2</v>
      </c>
      <c r="E72" s="253">
        <v>68.44</v>
      </c>
      <c r="F72" s="255">
        <v>1.1000000000000001</v>
      </c>
      <c r="G72" s="253">
        <v>0.11</v>
      </c>
      <c r="H72" s="263">
        <v>5.75</v>
      </c>
      <c r="I72" s="263">
        <v>0.09</v>
      </c>
      <c r="J72" s="49">
        <v>0.01</v>
      </c>
      <c r="K72" s="2"/>
      <c r="Q72" s="2"/>
      <c r="R72" s="117"/>
      <c r="S72" s="268">
        <v>2006</v>
      </c>
      <c r="T72" s="274">
        <v>1.5900000000000001E-2</v>
      </c>
      <c r="U72" s="122">
        <v>8.8000000000000005E-3</v>
      </c>
      <c r="V72" s="112"/>
      <c r="W72" s="112"/>
      <c r="X72" s="2"/>
      <c r="Y72" s="2"/>
      <c r="Z72" s="2"/>
      <c r="AA72" s="2"/>
    </row>
    <row r="73" spans="2:27">
      <c r="B73" s="14"/>
      <c r="C73" s="18" t="s">
        <v>758</v>
      </c>
      <c r="D73" s="266">
        <v>0.125</v>
      </c>
      <c r="E73" s="253">
        <v>71.06</v>
      </c>
      <c r="F73" s="255">
        <v>1.1000000000000001</v>
      </c>
      <c r="G73" s="253">
        <v>0.11</v>
      </c>
      <c r="H73" s="253">
        <v>8.8800000000000008</v>
      </c>
      <c r="I73" s="253">
        <v>0.14000000000000001</v>
      </c>
      <c r="J73" s="47">
        <v>0.01</v>
      </c>
      <c r="K73" s="2"/>
      <c r="Q73" s="2"/>
      <c r="R73" s="117"/>
      <c r="S73" s="268">
        <v>2007</v>
      </c>
      <c r="T73" s="269">
        <v>1.61E-2</v>
      </c>
      <c r="U73" s="121">
        <v>7.9000000000000008E-3</v>
      </c>
      <c r="V73" s="112"/>
      <c r="W73" s="112"/>
      <c r="X73" s="2"/>
      <c r="Y73" s="2"/>
      <c r="Z73" s="2"/>
      <c r="AA73" s="2"/>
    </row>
    <row r="74" spans="2:27" ht="15" thickBot="1">
      <c r="B74" s="14"/>
      <c r="C74" s="18" t="s">
        <v>761</v>
      </c>
      <c r="D74" s="266">
        <v>0.12</v>
      </c>
      <c r="E74" s="253">
        <v>81.55</v>
      </c>
      <c r="F74" s="255">
        <v>1.1000000000000001</v>
      </c>
      <c r="G74" s="253">
        <v>0.11</v>
      </c>
      <c r="H74" s="253">
        <v>9.7899999999999991</v>
      </c>
      <c r="I74" s="253">
        <v>0.13</v>
      </c>
      <c r="J74" s="47">
        <v>0.01</v>
      </c>
      <c r="K74" s="2"/>
      <c r="Q74" s="2"/>
      <c r="R74" s="123"/>
      <c r="S74" s="124" t="s">
        <v>1115</v>
      </c>
      <c r="T74" s="125">
        <v>1.6299999999999999E-2</v>
      </c>
      <c r="U74" s="126">
        <v>6.6E-3</v>
      </c>
      <c r="V74" s="112"/>
      <c r="W74" s="112"/>
      <c r="X74" s="2"/>
      <c r="Y74" s="2"/>
      <c r="Z74" s="2"/>
      <c r="AA74" s="2"/>
    </row>
    <row r="75" spans="2:27" ht="117">
      <c r="B75" s="44"/>
      <c r="C75" s="276" t="s">
        <v>1116</v>
      </c>
      <c r="D75" s="45"/>
      <c r="E75" s="51"/>
      <c r="F75" s="45"/>
      <c r="G75" s="45"/>
      <c r="H75" s="52"/>
      <c r="I75" s="52"/>
      <c r="J75" s="53"/>
      <c r="K75" s="2"/>
      <c r="Q75" s="2"/>
      <c r="R75" s="113" t="s">
        <v>1117</v>
      </c>
      <c r="S75" s="114" t="s">
        <v>1118</v>
      </c>
      <c r="T75" s="115">
        <v>0.46039999999999998</v>
      </c>
      <c r="U75" s="116">
        <v>4.9700000000000001E-2</v>
      </c>
      <c r="V75" s="112"/>
      <c r="W75" s="112"/>
      <c r="X75" s="2"/>
      <c r="Y75" s="2"/>
      <c r="Z75" s="2"/>
      <c r="AA75" s="2"/>
    </row>
    <row r="76" spans="2:27">
      <c r="B76" s="14"/>
      <c r="C76" s="18" t="s">
        <v>1119</v>
      </c>
      <c r="D76" s="52"/>
      <c r="E76" s="255">
        <v>94.4</v>
      </c>
      <c r="F76" s="255">
        <v>1.9</v>
      </c>
      <c r="G76" s="253">
        <v>0.42</v>
      </c>
      <c r="H76" s="52"/>
      <c r="I76" s="52"/>
      <c r="J76" s="53"/>
      <c r="K76" s="2"/>
      <c r="Q76" s="2"/>
      <c r="R76" s="117"/>
      <c r="S76" s="268" t="s">
        <v>1120</v>
      </c>
      <c r="T76" s="269">
        <v>0.44919999999999999</v>
      </c>
      <c r="U76" s="121">
        <v>5.3800000000000001E-2</v>
      </c>
      <c r="V76" s="112"/>
      <c r="W76" s="112"/>
      <c r="X76" s="2"/>
      <c r="Y76" s="2"/>
      <c r="Z76" s="2"/>
      <c r="AA76" s="2"/>
    </row>
    <row r="77" spans="2:27">
      <c r="B77" s="14"/>
      <c r="C77" s="18" t="s">
        <v>1121</v>
      </c>
      <c r="D77" s="52"/>
      <c r="E77" s="255">
        <v>93.7</v>
      </c>
      <c r="F77" s="255">
        <v>1.9</v>
      </c>
      <c r="G77" s="253">
        <v>0.42</v>
      </c>
      <c r="H77" s="52"/>
      <c r="I77" s="52"/>
      <c r="J77" s="53"/>
      <c r="K77" s="2"/>
      <c r="Q77" s="2"/>
      <c r="R77" s="117"/>
      <c r="S77" s="268" t="s">
        <v>1122</v>
      </c>
      <c r="T77" s="269">
        <v>0.40899999999999997</v>
      </c>
      <c r="U77" s="121">
        <v>5.1499999999999997E-2</v>
      </c>
      <c r="V77" s="112"/>
      <c r="W77" s="112"/>
      <c r="X77" s="2"/>
      <c r="Y77" s="2"/>
      <c r="Z77" s="2"/>
      <c r="AA77" s="2"/>
    </row>
    <row r="78" spans="2:27">
      <c r="B78" s="14"/>
      <c r="C78" s="18" t="s">
        <v>1123</v>
      </c>
      <c r="D78" s="52"/>
      <c r="E78" s="255">
        <v>95.5</v>
      </c>
      <c r="F78" s="255">
        <v>1.9</v>
      </c>
      <c r="G78" s="253">
        <v>0.42</v>
      </c>
      <c r="H78" s="52"/>
      <c r="I78" s="52"/>
      <c r="J78" s="53"/>
      <c r="K78" s="2"/>
      <c r="Q78" s="2"/>
      <c r="R78" s="117"/>
      <c r="S78" s="268">
        <v>1987</v>
      </c>
      <c r="T78" s="269">
        <v>0.36749999999999999</v>
      </c>
      <c r="U78" s="121">
        <v>8.4900000000000003E-2</v>
      </c>
      <c r="V78" s="112"/>
      <c r="W78" s="112"/>
      <c r="X78" s="2"/>
      <c r="Y78" s="2"/>
      <c r="Z78" s="2"/>
      <c r="AA78" s="2"/>
    </row>
    <row r="79" spans="2:27">
      <c r="B79" s="14"/>
      <c r="C79" s="18" t="s">
        <v>1124</v>
      </c>
      <c r="D79" s="52"/>
      <c r="E79" s="255">
        <v>93.7</v>
      </c>
      <c r="F79" s="255">
        <v>1.9</v>
      </c>
      <c r="G79" s="253">
        <v>0.42</v>
      </c>
      <c r="H79" s="52"/>
      <c r="I79" s="52"/>
      <c r="J79" s="53"/>
      <c r="K79" s="2"/>
      <c r="Q79" s="2"/>
      <c r="R79" s="117"/>
      <c r="S79" s="268" t="s">
        <v>1125</v>
      </c>
      <c r="T79" s="269">
        <v>0.34920000000000001</v>
      </c>
      <c r="U79" s="121">
        <v>9.3299999999999994E-2</v>
      </c>
      <c r="V79" s="112"/>
      <c r="W79" s="112"/>
      <c r="X79" s="2"/>
      <c r="Y79" s="2"/>
      <c r="Z79" s="2"/>
      <c r="AA79" s="2"/>
    </row>
    <row r="80" spans="2:27" ht="15" thickBot="1">
      <c r="B80" s="14"/>
      <c r="C80" s="54" t="s">
        <v>1126</v>
      </c>
      <c r="D80" s="55"/>
      <c r="E80" s="56">
        <v>95.1</v>
      </c>
      <c r="F80" s="56">
        <v>1.9</v>
      </c>
      <c r="G80" s="57">
        <v>0.42</v>
      </c>
      <c r="H80" s="55"/>
      <c r="I80" s="55"/>
      <c r="J80" s="58"/>
      <c r="K80" s="2"/>
      <c r="Q80" s="2"/>
      <c r="R80" s="117"/>
      <c r="S80" s="268" t="s">
        <v>1127</v>
      </c>
      <c r="T80" s="269">
        <v>0.3246</v>
      </c>
      <c r="U80" s="121">
        <v>0.1142</v>
      </c>
      <c r="V80" s="112"/>
      <c r="W80" s="112"/>
      <c r="X80" s="2"/>
      <c r="Y80" s="2"/>
      <c r="Z80" s="2"/>
      <c r="AA80" s="2"/>
    </row>
    <row r="81" spans="2:27">
      <c r="B81" s="44"/>
      <c r="C81" s="59" t="s">
        <v>1081</v>
      </c>
      <c r="D81" s="60"/>
      <c r="E81" s="61"/>
      <c r="F81" s="61"/>
      <c r="G81" s="61"/>
      <c r="H81" s="60"/>
      <c r="I81" s="60"/>
      <c r="J81" s="60"/>
      <c r="K81" s="60"/>
      <c r="Q81" s="2"/>
      <c r="R81" s="117"/>
      <c r="S81" s="268">
        <v>1996</v>
      </c>
      <c r="T81" s="269">
        <v>0.1278</v>
      </c>
      <c r="U81" s="121">
        <v>0.16800000000000001</v>
      </c>
      <c r="V81" s="112"/>
      <c r="W81" s="112"/>
      <c r="X81" s="2"/>
      <c r="Y81" s="2"/>
      <c r="Z81" s="2"/>
      <c r="AA81" s="2"/>
    </row>
    <row r="82" spans="2:27">
      <c r="B82" s="11"/>
      <c r="C82" s="1001" t="s">
        <v>1083</v>
      </c>
      <c r="D82" s="1001"/>
      <c r="E82" s="1001"/>
      <c r="F82" s="1001"/>
      <c r="G82" s="1001"/>
      <c r="H82" s="1001"/>
      <c r="I82" s="1001"/>
      <c r="J82" s="1001"/>
      <c r="K82" s="1001"/>
      <c r="Q82" s="2"/>
      <c r="R82" s="117"/>
      <c r="S82" s="268">
        <v>1997</v>
      </c>
      <c r="T82" s="269">
        <v>9.2399999999999996E-2</v>
      </c>
      <c r="U82" s="121">
        <v>0.1726</v>
      </c>
      <c r="V82" s="112"/>
      <c r="W82" s="112"/>
      <c r="X82" s="2"/>
      <c r="Y82" s="2"/>
      <c r="Z82" s="2"/>
      <c r="AA82" s="2"/>
    </row>
    <row r="83" spans="2:27">
      <c r="B83" s="11"/>
      <c r="C83" s="62" t="s">
        <v>1084</v>
      </c>
      <c r="D83" s="2"/>
      <c r="E83" s="2"/>
      <c r="F83" s="2"/>
      <c r="G83" s="2"/>
      <c r="H83" s="2"/>
      <c r="I83" s="2"/>
      <c r="J83" s="2"/>
      <c r="K83" s="2"/>
      <c r="Q83" s="2"/>
      <c r="R83" s="117"/>
      <c r="S83" s="268">
        <v>1998</v>
      </c>
      <c r="T83" s="274">
        <v>6.5500000000000003E-2</v>
      </c>
      <c r="U83" s="122">
        <v>0.17499999999999999</v>
      </c>
      <c r="V83" s="112"/>
      <c r="W83" s="112"/>
      <c r="X83" s="2"/>
      <c r="Y83" s="2"/>
      <c r="Z83" s="2"/>
      <c r="AA83" s="2"/>
    </row>
    <row r="84" spans="2:27">
      <c r="B84" s="1"/>
      <c r="C84" s="1001" t="s">
        <v>1128</v>
      </c>
      <c r="D84" s="1001"/>
      <c r="E84" s="1001"/>
      <c r="F84" s="1001"/>
      <c r="G84" s="1001"/>
      <c r="H84" s="1001"/>
      <c r="I84" s="1001"/>
      <c r="J84" s="1001"/>
      <c r="K84" s="1001"/>
      <c r="Q84" s="2"/>
      <c r="R84" s="117"/>
      <c r="S84" s="268">
        <v>1999</v>
      </c>
      <c r="T84" s="274">
        <v>6.4799999999999996E-2</v>
      </c>
      <c r="U84" s="122">
        <v>0.17213999999999999</v>
      </c>
      <c r="V84" s="112"/>
      <c r="W84" s="112"/>
      <c r="X84" s="2"/>
      <c r="Y84" s="2"/>
      <c r="Z84" s="2"/>
      <c r="AA84" s="2"/>
    </row>
    <row r="85" spans="2:27">
      <c r="Q85" s="2"/>
      <c r="R85" s="117"/>
      <c r="S85" s="268">
        <v>2000</v>
      </c>
      <c r="T85" s="274">
        <v>6.3E-2</v>
      </c>
      <c r="U85" s="122">
        <v>0.16499</v>
      </c>
      <c r="V85" s="112"/>
      <c r="W85" s="112"/>
      <c r="X85" s="2"/>
      <c r="Y85" s="2"/>
      <c r="Z85" s="2"/>
      <c r="AA85" s="2"/>
    </row>
    <row r="86" spans="2:27">
      <c r="Q86" s="2"/>
      <c r="R86" s="117"/>
      <c r="S86" s="268">
        <v>2001</v>
      </c>
      <c r="T86" s="274">
        <v>5.7799999999999997E-2</v>
      </c>
      <c r="U86" s="122">
        <v>0.14353999999999997</v>
      </c>
      <c r="V86" s="112"/>
      <c r="W86" s="112"/>
      <c r="X86" s="2"/>
      <c r="Y86" s="2"/>
      <c r="Z86" s="2"/>
      <c r="AA86" s="2"/>
    </row>
    <row r="87" spans="2:27">
      <c r="Q87" s="2"/>
      <c r="R87" s="117"/>
      <c r="S87" s="268">
        <v>2002</v>
      </c>
      <c r="T87" s="274">
        <v>6.3399999999999998E-2</v>
      </c>
      <c r="U87" s="122">
        <v>0.16641999999999998</v>
      </c>
      <c r="V87" s="112"/>
      <c r="W87" s="112"/>
      <c r="X87" s="2"/>
      <c r="Y87" s="2"/>
      <c r="Z87" s="2"/>
      <c r="AA87" s="2"/>
    </row>
    <row r="88" spans="2:27" ht="16.5">
      <c r="B88" s="195" t="s">
        <v>1129</v>
      </c>
      <c r="C88" s="195" t="s">
        <v>1130</v>
      </c>
      <c r="D88" s="195" t="s">
        <v>860</v>
      </c>
      <c r="E88" s="196" t="s">
        <v>1131</v>
      </c>
      <c r="F88" s="196" t="s">
        <v>1132</v>
      </c>
      <c r="G88" s="98" t="s">
        <v>1133</v>
      </c>
      <c r="H88" s="98" t="s">
        <v>1134</v>
      </c>
      <c r="Q88" s="2"/>
      <c r="R88" s="117"/>
      <c r="S88" s="268">
        <v>2003</v>
      </c>
      <c r="T88" s="274">
        <v>6.0299999999999999E-2</v>
      </c>
      <c r="U88" s="122">
        <v>0.153364</v>
      </c>
      <c r="V88" s="112"/>
      <c r="W88" s="112"/>
      <c r="X88" s="2"/>
      <c r="Y88" s="2"/>
      <c r="Z88" s="2"/>
      <c r="AA88" s="2"/>
    </row>
    <row r="89" spans="2:27">
      <c r="B89" s="1002" t="s">
        <v>1135</v>
      </c>
      <c r="C89" s="1005" t="s">
        <v>343</v>
      </c>
      <c r="D89" s="196" t="s">
        <v>1136</v>
      </c>
      <c r="E89" s="74">
        <v>2542.04</v>
      </c>
      <c r="F89" s="74">
        <v>2537.36</v>
      </c>
      <c r="G89" s="74">
        <v>3.34</v>
      </c>
      <c r="H89" s="74">
        <v>1.34</v>
      </c>
      <c r="Q89" s="2"/>
      <c r="R89" s="117"/>
      <c r="S89" s="268">
        <v>2004</v>
      </c>
      <c r="T89" s="274">
        <v>3.2300000000000002E-2</v>
      </c>
      <c r="U89" s="122">
        <v>1.9538E-2</v>
      </c>
      <c r="V89" s="112"/>
      <c r="W89" s="112"/>
      <c r="X89" s="2"/>
      <c r="Y89" s="2"/>
      <c r="Z89" s="2"/>
      <c r="AA89" s="2"/>
    </row>
    <row r="90" spans="2:27">
      <c r="B90" s="1003"/>
      <c r="C90" s="1006"/>
      <c r="D90" s="196" t="s">
        <v>554</v>
      </c>
      <c r="E90" s="94">
        <v>0.44485999999999998</v>
      </c>
      <c r="F90" s="94">
        <v>0.44403999999999999</v>
      </c>
      <c r="G90" s="94">
        <v>5.8E-4</v>
      </c>
      <c r="H90" s="94">
        <v>2.3000000000000001E-4</v>
      </c>
      <c r="Q90" s="2"/>
      <c r="R90" s="117"/>
      <c r="S90" s="268">
        <v>2005</v>
      </c>
      <c r="T90" s="274">
        <v>3.2899999999999999E-2</v>
      </c>
      <c r="U90" s="122">
        <v>1.619E-2</v>
      </c>
      <c r="V90" s="112"/>
      <c r="W90" s="112"/>
      <c r="X90" s="2"/>
      <c r="Y90" s="2"/>
      <c r="Z90" s="2"/>
      <c r="AA90" s="2"/>
    </row>
    <row r="91" spans="2:27">
      <c r="B91" s="1003"/>
      <c r="C91" s="1006"/>
      <c r="D91" s="196" t="s">
        <v>1137</v>
      </c>
      <c r="E91" s="94">
        <v>0.20427999999999999</v>
      </c>
      <c r="F91" s="94">
        <v>0.2039</v>
      </c>
      <c r="G91" s="94">
        <v>2.7E-4</v>
      </c>
      <c r="H91" s="94">
        <v>1.1E-4</v>
      </c>
      <c r="Q91" s="2"/>
      <c r="R91" s="117"/>
      <c r="S91" s="268">
        <v>2006</v>
      </c>
      <c r="T91" s="274">
        <v>3.1800000000000002E-2</v>
      </c>
      <c r="U91" s="122">
        <v>2.2700000000000001E-2</v>
      </c>
      <c r="V91" s="112"/>
      <c r="W91" s="112"/>
      <c r="X91" s="2"/>
      <c r="Y91" s="2"/>
      <c r="Z91" s="2"/>
      <c r="AA91" s="2"/>
    </row>
    <row r="92" spans="2:27">
      <c r="B92" s="1003"/>
      <c r="C92" s="1007"/>
      <c r="D92" s="196" t="s">
        <v>1138</v>
      </c>
      <c r="E92" s="94">
        <v>0.18385000000000001</v>
      </c>
      <c r="F92" s="94">
        <v>0.18351000000000001</v>
      </c>
      <c r="G92" s="94">
        <v>2.4000000000000001E-4</v>
      </c>
      <c r="H92" s="94">
        <v>1E-4</v>
      </c>
      <c r="Q92" s="2"/>
      <c r="R92" s="117"/>
      <c r="S92" s="268">
        <v>2007</v>
      </c>
      <c r="T92" s="274">
        <v>3.3300000000000003E-2</v>
      </c>
      <c r="U92" s="122">
        <v>1.34E-2</v>
      </c>
      <c r="V92" s="112"/>
      <c r="W92" s="112"/>
      <c r="X92" s="2"/>
      <c r="Y92" s="2"/>
      <c r="Z92" s="2"/>
      <c r="AA92" s="2"/>
    </row>
    <row r="93" spans="2:27" ht="15" thickBot="1">
      <c r="B93" s="1003"/>
      <c r="C93" s="1005" t="s">
        <v>1139</v>
      </c>
      <c r="D93" s="196" t="s">
        <v>1136</v>
      </c>
      <c r="E93" s="74">
        <v>2550.04</v>
      </c>
      <c r="F93" s="74">
        <v>2545.37</v>
      </c>
      <c r="G93" s="74">
        <v>3.34</v>
      </c>
      <c r="H93" s="74">
        <v>1.34</v>
      </c>
      <c r="Q93" s="2"/>
      <c r="R93" s="123"/>
      <c r="S93" s="124" t="s">
        <v>1115</v>
      </c>
      <c r="T93" s="125">
        <v>3.3300000000000003E-2</v>
      </c>
      <c r="U93" s="126">
        <v>1.34E-2</v>
      </c>
      <c r="V93" s="112"/>
      <c r="W93" s="112"/>
      <c r="X93" s="2"/>
      <c r="Y93" s="2"/>
      <c r="Z93" s="2"/>
      <c r="AA93" s="2"/>
    </row>
    <row r="94" spans="2:27">
      <c r="B94" s="1003"/>
      <c r="C94" s="1006"/>
      <c r="D94" s="196" t="s">
        <v>554</v>
      </c>
      <c r="E94" s="94">
        <v>1.15387</v>
      </c>
      <c r="F94" s="94">
        <v>1.1517500000000001</v>
      </c>
      <c r="G94" s="94">
        <v>1.5100000000000001E-3</v>
      </c>
      <c r="H94" s="94">
        <v>5.9999999999999995E-4</v>
      </c>
      <c r="Q94" s="2"/>
      <c r="R94" s="1023" t="s">
        <v>631</v>
      </c>
      <c r="S94" s="114" t="s">
        <v>1140</v>
      </c>
      <c r="T94" s="127">
        <v>8.9899999999999994E-2</v>
      </c>
      <c r="U94" s="128">
        <v>8.6999999999999994E-3</v>
      </c>
      <c r="V94" s="112"/>
      <c r="W94" s="112"/>
      <c r="X94" s="2"/>
      <c r="Y94" s="2"/>
      <c r="Z94" s="2"/>
      <c r="AA94" s="2"/>
    </row>
    <row r="95" spans="2:27" ht="15" thickBot="1">
      <c r="B95" s="1003"/>
      <c r="C95" s="1006"/>
      <c r="D95" s="196" t="s">
        <v>1137</v>
      </c>
      <c r="E95" s="94">
        <v>0.20491999999999999</v>
      </c>
      <c r="F95" s="99">
        <v>0.20455000000000001</v>
      </c>
      <c r="G95" s="94">
        <v>2.7E-4</v>
      </c>
      <c r="H95" s="94">
        <v>1.1E-4</v>
      </c>
      <c r="Q95" s="2"/>
      <c r="R95" s="1024"/>
      <c r="S95" s="124" t="s">
        <v>1141</v>
      </c>
      <c r="T95" s="129">
        <v>6.7199999999999996E-2</v>
      </c>
      <c r="U95" s="130">
        <v>6.8999999999999999E-3</v>
      </c>
      <c r="V95" s="112"/>
      <c r="W95" s="112"/>
      <c r="X95" s="2"/>
      <c r="Y95" s="2"/>
      <c r="Z95" s="2"/>
      <c r="AA95" s="2"/>
    </row>
    <row r="96" spans="2:27">
      <c r="B96" s="1003"/>
      <c r="C96" s="1007"/>
      <c r="D96" s="196" t="s">
        <v>1138</v>
      </c>
      <c r="E96" s="94">
        <v>0.18443000000000001</v>
      </c>
      <c r="F96" s="94">
        <v>0.18409</v>
      </c>
      <c r="G96" s="94">
        <v>2.4000000000000001E-4</v>
      </c>
      <c r="H96" s="94">
        <v>1E-4</v>
      </c>
      <c r="Q96" s="92"/>
      <c r="R96" s="59" t="s">
        <v>1142</v>
      </c>
      <c r="S96" s="60"/>
      <c r="T96" s="60"/>
      <c r="U96" s="60"/>
      <c r="V96" s="112"/>
      <c r="W96" s="60"/>
      <c r="X96" s="60"/>
      <c r="Y96" s="60"/>
      <c r="Z96" s="60"/>
      <c r="AA96" s="60"/>
    </row>
    <row r="97" spans="2:27">
      <c r="B97" s="1003"/>
      <c r="C97" s="1005" t="s">
        <v>1143</v>
      </c>
      <c r="D97" s="196" t="s">
        <v>1136</v>
      </c>
      <c r="E97" s="74">
        <v>2936.86</v>
      </c>
      <c r="F97" s="74">
        <v>2933.01</v>
      </c>
      <c r="G97" s="74">
        <v>1.94</v>
      </c>
      <c r="H97" s="74">
        <v>1.91</v>
      </c>
      <c r="Q97" s="1"/>
      <c r="R97" s="2"/>
      <c r="S97" s="2"/>
      <c r="T97" s="2"/>
      <c r="U97" s="2"/>
      <c r="V97" s="2"/>
      <c r="W97" s="2"/>
      <c r="X97" s="2"/>
      <c r="Y97" s="2"/>
      <c r="Z97" s="2"/>
      <c r="AA97" s="2"/>
    </row>
    <row r="98" spans="2:27" ht="17.5">
      <c r="B98" s="1003"/>
      <c r="C98" s="1006"/>
      <c r="D98" s="196" t="s">
        <v>554</v>
      </c>
      <c r="E98" s="94">
        <v>1.5226</v>
      </c>
      <c r="F98" s="94">
        <v>1.5206</v>
      </c>
      <c r="G98" s="94">
        <v>1.01E-3</v>
      </c>
      <c r="H98" s="94">
        <v>9.8999999999999999E-4</v>
      </c>
      <c r="Q98" s="213" t="s">
        <v>1144</v>
      </c>
      <c r="R98" s="258" t="s">
        <v>1145</v>
      </c>
      <c r="S98" s="215"/>
      <c r="T98" s="215"/>
      <c r="U98" s="215"/>
      <c r="V98" s="215"/>
      <c r="W98" s="215"/>
      <c r="X98" s="215"/>
      <c r="Y98" s="215"/>
      <c r="Z98" s="215"/>
      <c r="AA98" s="216"/>
    </row>
    <row r="99" spans="2:27" ht="15" thickBot="1">
      <c r="B99" s="1003"/>
      <c r="C99" s="1006"/>
      <c r="D99" s="196" t="s">
        <v>1137</v>
      </c>
      <c r="E99" s="94">
        <v>0.23028999999999999</v>
      </c>
      <c r="F99" s="94">
        <v>0.22999</v>
      </c>
      <c r="G99" s="94">
        <v>1.4999999999999999E-4</v>
      </c>
      <c r="H99" s="94">
        <v>1.4999999999999999E-4</v>
      </c>
      <c r="Q99" s="2"/>
      <c r="R99" s="68"/>
      <c r="S99" s="68"/>
      <c r="T99" s="68"/>
      <c r="U99" s="68"/>
      <c r="V99" s="2"/>
      <c r="W99" s="2"/>
      <c r="X99" s="2"/>
      <c r="Y99" s="2"/>
      <c r="Z99" s="2"/>
      <c r="AA99" s="2"/>
    </row>
    <row r="100" spans="2:27" ht="41.5" thickBot="1">
      <c r="B100" s="1003"/>
      <c r="C100" s="1007"/>
      <c r="D100" s="196" t="s">
        <v>1138</v>
      </c>
      <c r="E100" s="94">
        <v>0.21446999999999999</v>
      </c>
      <c r="F100" s="94">
        <v>0.21418999999999999</v>
      </c>
      <c r="G100" s="94">
        <v>1.3999999999999999E-4</v>
      </c>
      <c r="H100" s="94">
        <v>1.3999999999999999E-4</v>
      </c>
      <c r="Q100" s="2"/>
      <c r="R100" s="131" t="s">
        <v>1089</v>
      </c>
      <c r="S100" s="110" t="s">
        <v>1146</v>
      </c>
      <c r="T100" s="110" t="s">
        <v>1147</v>
      </c>
      <c r="U100" s="111" t="s">
        <v>1092</v>
      </c>
      <c r="V100" s="2"/>
      <c r="W100" s="2"/>
      <c r="X100" s="2"/>
      <c r="Y100" s="2"/>
      <c r="Z100" s="2"/>
      <c r="AA100" s="2"/>
    </row>
    <row r="101" spans="2:27">
      <c r="B101" s="1003"/>
      <c r="C101" s="1005" t="s">
        <v>1148</v>
      </c>
      <c r="D101" s="196" t="s">
        <v>1136</v>
      </c>
      <c r="E101" s="74">
        <v>2542.04</v>
      </c>
      <c r="F101" s="74">
        <v>2537.36</v>
      </c>
      <c r="G101" s="74">
        <v>3.34</v>
      </c>
      <c r="H101" s="74">
        <v>1.34</v>
      </c>
      <c r="Q101" s="2"/>
      <c r="R101" s="1023" t="s">
        <v>648</v>
      </c>
      <c r="S101" s="114" t="s">
        <v>1149</v>
      </c>
      <c r="T101" s="132">
        <v>5.9999999999999995E-4</v>
      </c>
      <c r="U101" s="133">
        <v>1.1999999999999999E-3</v>
      </c>
      <c r="V101" s="134"/>
      <c r="W101" s="2"/>
      <c r="X101" s="2"/>
      <c r="Y101" s="2"/>
      <c r="Z101" s="2"/>
      <c r="AA101" s="2"/>
    </row>
    <row r="102" spans="2:27">
      <c r="B102" s="1003"/>
      <c r="C102" s="1006"/>
      <c r="D102" s="196" t="s">
        <v>1150</v>
      </c>
      <c r="E102" s="94">
        <v>2.0305300000000002</v>
      </c>
      <c r="F102" s="94">
        <v>2.0268000000000002</v>
      </c>
      <c r="G102" s="94">
        <v>2.6700000000000001E-3</v>
      </c>
      <c r="H102" s="94">
        <v>1.07E-3</v>
      </c>
      <c r="Q102" s="2"/>
      <c r="R102" s="1025"/>
      <c r="S102" s="268" t="s">
        <v>1151</v>
      </c>
      <c r="T102" s="277">
        <v>5.0000000000000001E-4</v>
      </c>
      <c r="U102" s="135">
        <v>1E-3</v>
      </c>
      <c r="V102" s="134"/>
      <c r="W102" s="2"/>
      <c r="X102" s="2"/>
      <c r="Y102" s="2"/>
      <c r="Z102" s="2"/>
      <c r="AA102" s="2"/>
    </row>
    <row r="103" spans="2:27">
      <c r="B103" s="1003"/>
      <c r="C103" s="1006"/>
      <c r="D103" s="196" t="s">
        <v>1137</v>
      </c>
      <c r="E103" s="94">
        <v>0.20427999999999999</v>
      </c>
      <c r="F103" s="94">
        <v>0.2039</v>
      </c>
      <c r="G103" s="94">
        <v>2.7E-4</v>
      </c>
      <c r="H103" s="94">
        <v>1.1E-4</v>
      </c>
      <c r="Q103" s="2"/>
      <c r="R103" s="1025"/>
      <c r="S103" s="268" t="s">
        <v>1141</v>
      </c>
      <c r="T103" s="277">
        <v>5.0000000000000001E-4</v>
      </c>
      <c r="U103" s="135">
        <v>1E-3</v>
      </c>
      <c r="V103" s="134"/>
      <c r="W103" s="2"/>
      <c r="X103" s="2"/>
      <c r="Y103" s="2"/>
      <c r="Z103" s="2"/>
      <c r="AA103" s="2"/>
    </row>
    <row r="104" spans="2:27">
      <c r="B104" s="1003"/>
      <c r="C104" s="1007"/>
      <c r="D104" s="196" t="s">
        <v>1138</v>
      </c>
      <c r="E104" s="94">
        <v>0.18385000000000001</v>
      </c>
      <c r="F104" s="94">
        <v>0.18351000000000001</v>
      </c>
      <c r="G104" s="94">
        <v>2.4000000000000001E-4</v>
      </c>
      <c r="H104" s="94">
        <v>1E-4</v>
      </c>
      <c r="Q104" s="136"/>
      <c r="R104" s="1026" t="s">
        <v>1152</v>
      </c>
      <c r="S104" s="268" t="s">
        <v>1149</v>
      </c>
      <c r="T104" s="277">
        <v>1.1000000000000001E-3</v>
      </c>
      <c r="U104" s="135">
        <v>1.6999999999999999E-3</v>
      </c>
      <c r="V104" s="134"/>
      <c r="W104" s="2"/>
      <c r="X104" s="2"/>
      <c r="Y104" s="2"/>
      <c r="Z104" s="2"/>
      <c r="AA104" s="2"/>
    </row>
    <row r="105" spans="2:27">
      <c r="B105" s="1003"/>
      <c r="C105" s="1005" t="s">
        <v>1153</v>
      </c>
      <c r="D105" s="196" t="s">
        <v>1136</v>
      </c>
      <c r="E105" s="74">
        <v>2550.04</v>
      </c>
      <c r="F105" s="74">
        <v>2545.37</v>
      </c>
      <c r="G105" s="74">
        <v>3.34</v>
      </c>
      <c r="H105" s="74">
        <v>1.34</v>
      </c>
      <c r="Q105" s="136"/>
      <c r="R105" s="1025"/>
      <c r="S105" s="268" t="s">
        <v>1151</v>
      </c>
      <c r="T105" s="277">
        <v>8.9999999999999998E-4</v>
      </c>
      <c r="U105" s="135">
        <v>1.4E-3</v>
      </c>
      <c r="V105" s="134"/>
      <c r="W105" s="2"/>
      <c r="X105" s="2"/>
      <c r="Y105" s="2"/>
      <c r="Z105" s="2"/>
      <c r="AA105" s="2"/>
    </row>
    <row r="106" spans="2:27">
      <c r="B106" s="1003"/>
      <c r="C106" s="1006"/>
      <c r="D106" s="196" t="s">
        <v>1150</v>
      </c>
      <c r="E106" s="94">
        <v>2.0369299999999999</v>
      </c>
      <c r="F106" s="94">
        <v>2.0331999999999999</v>
      </c>
      <c r="G106" s="94">
        <v>2.6700000000000001E-3</v>
      </c>
      <c r="H106" s="94">
        <v>1.07E-3</v>
      </c>
      <c r="Q106" s="136"/>
      <c r="R106" s="1027"/>
      <c r="S106" s="268" t="s">
        <v>1141</v>
      </c>
      <c r="T106" s="277">
        <v>1E-3</v>
      </c>
      <c r="U106" s="135">
        <v>1.5E-3</v>
      </c>
      <c r="V106" s="134"/>
      <c r="W106" s="2"/>
      <c r="X106" s="2"/>
      <c r="Y106" s="2"/>
      <c r="Z106" s="2"/>
      <c r="AA106" s="2"/>
    </row>
    <row r="107" spans="2:27">
      <c r="B107" s="1003"/>
      <c r="C107" s="1006"/>
      <c r="D107" s="196" t="s">
        <v>1137</v>
      </c>
      <c r="E107" s="94">
        <v>0.20491999999999999</v>
      </c>
      <c r="F107" s="94">
        <v>0.20455000000000001</v>
      </c>
      <c r="G107" s="94">
        <v>2.7E-4</v>
      </c>
      <c r="H107" s="94">
        <v>1.1E-4</v>
      </c>
      <c r="Q107" s="136"/>
      <c r="R107" s="15" t="s">
        <v>1154</v>
      </c>
      <c r="S107" s="268" t="s">
        <v>1155</v>
      </c>
      <c r="T107" s="277">
        <v>5.1000000000000004E-3</v>
      </c>
      <c r="U107" s="135">
        <v>4.7999999999999996E-3</v>
      </c>
      <c r="V107" s="134"/>
      <c r="W107" s="2"/>
      <c r="X107" s="2"/>
      <c r="Y107" s="2"/>
      <c r="Z107" s="2"/>
      <c r="AA107" s="2"/>
    </row>
    <row r="108" spans="2:27">
      <c r="B108" s="1003"/>
      <c r="C108" s="1007"/>
      <c r="D108" s="196" t="s">
        <v>1138</v>
      </c>
      <c r="E108" s="94">
        <v>0.18443000000000001</v>
      </c>
      <c r="F108" s="94">
        <v>0.18409</v>
      </c>
      <c r="G108" s="94">
        <v>2.4000000000000001E-4</v>
      </c>
      <c r="H108" s="94">
        <v>1E-4</v>
      </c>
      <c r="Q108" s="136"/>
      <c r="R108" s="15" t="s">
        <v>1156</v>
      </c>
      <c r="S108" s="278"/>
      <c r="T108" s="279">
        <v>0.73699999999999999</v>
      </c>
      <c r="U108" s="137">
        <v>0.05</v>
      </c>
      <c r="V108" s="134"/>
      <c r="W108" s="134"/>
      <c r="X108" s="2"/>
      <c r="Y108" s="2"/>
      <c r="Z108" s="2"/>
      <c r="AA108" s="2"/>
    </row>
    <row r="109" spans="2:27">
      <c r="B109" s="1003"/>
      <c r="C109" s="1005" t="s">
        <v>1157</v>
      </c>
      <c r="D109" s="196" t="s">
        <v>1136</v>
      </c>
      <c r="E109" s="74">
        <v>2610.2600000000002</v>
      </c>
      <c r="F109" s="74">
        <v>2607.71</v>
      </c>
      <c r="G109" s="74">
        <v>1.17</v>
      </c>
      <c r="H109" s="74">
        <v>1.39</v>
      </c>
      <c r="Q109" s="136"/>
      <c r="R109" s="15" t="s">
        <v>1158</v>
      </c>
      <c r="S109" s="278"/>
      <c r="T109" s="279">
        <v>1.966</v>
      </c>
      <c r="U109" s="137">
        <v>0.17499999999999999</v>
      </c>
      <c r="V109" s="134"/>
      <c r="W109" s="134"/>
      <c r="X109" s="2"/>
      <c r="Y109" s="2"/>
      <c r="Z109" s="2"/>
      <c r="AA109" s="2"/>
    </row>
    <row r="110" spans="2:27">
      <c r="B110" s="1003"/>
      <c r="C110" s="1006"/>
      <c r="D110" s="196" t="s">
        <v>554</v>
      </c>
      <c r="E110" s="94">
        <v>0.95613999999999999</v>
      </c>
      <c r="F110" s="94">
        <v>0.95521</v>
      </c>
      <c r="G110" s="94">
        <v>4.2999999999999999E-4</v>
      </c>
      <c r="H110" s="94">
        <v>5.1000000000000004E-4</v>
      </c>
      <c r="Q110" s="136"/>
      <c r="R110" s="15" t="s">
        <v>1159</v>
      </c>
      <c r="S110" s="278"/>
      <c r="T110" s="279">
        <v>1.966</v>
      </c>
      <c r="U110" s="137">
        <v>0.17499999999999999</v>
      </c>
      <c r="V110" s="134"/>
      <c r="W110" s="134"/>
      <c r="X110" s="2"/>
      <c r="Y110" s="2"/>
      <c r="Z110" s="2"/>
      <c r="AA110" s="2"/>
    </row>
    <row r="111" spans="2:27">
      <c r="B111" s="1003"/>
      <c r="C111" s="1006"/>
      <c r="D111" s="196" t="s">
        <v>1137</v>
      </c>
      <c r="E111" s="94">
        <v>0.20164000000000001</v>
      </c>
      <c r="F111" s="94">
        <v>0.20144999999999999</v>
      </c>
      <c r="G111" s="94">
        <v>9.0000000000000006E-5</v>
      </c>
      <c r="H111" s="94">
        <v>1.1E-4</v>
      </c>
      <c r="Q111" s="136"/>
      <c r="R111" s="15" t="s">
        <v>1160</v>
      </c>
      <c r="S111" s="278"/>
      <c r="T111" s="279">
        <v>3.6999999999999998E-2</v>
      </c>
      <c r="U111" s="137">
        <v>6.7000000000000004E-2</v>
      </c>
      <c r="V111" s="134"/>
      <c r="W111" s="134"/>
      <c r="X111" s="2"/>
      <c r="Y111" s="2"/>
      <c r="Z111" s="2"/>
      <c r="AA111" s="2"/>
    </row>
    <row r="112" spans="2:27">
      <c r="B112" s="1004"/>
      <c r="C112" s="1007"/>
      <c r="D112" s="196" t="s">
        <v>1138</v>
      </c>
      <c r="E112" s="94">
        <v>0.18551000000000001</v>
      </c>
      <c r="F112" s="94">
        <v>0.18532999999999999</v>
      </c>
      <c r="G112" s="94">
        <v>8.0000000000000007E-5</v>
      </c>
      <c r="H112" s="94">
        <v>1E-4</v>
      </c>
      <c r="Q112" s="136"/>
      <c r="R112" s="15" t="s">
        <v>1161</v>
      </c>
      <c r="S112" s="278"/>
      <c r="T112" s="279">
        <v>6.6000000000000003E-2</v>
      </c>
      <c r="U112" s="137">
        <v>0.17499999999999999</v>
      </c>
      <c r="V112" s="134"/>
      <c r="W112" s="134"/>
      <c r="X112" s="2"/>
      <c r="Y112" s="2"/>
      <c r="Z112" s="2"/>
      <c r="AA112" s="2"/>
    </row>
    <row r="113" spans="2:27">
      <c r="B113" s="194"/>
      <c r="C113" s="194"/>
      <c r="D113" s="194"/>
      <c r="E113" s="95"/>
      <c r="F113" s="95"/>
      <c r="G113" s="95"/>
      <c r="H113" s="95"/>
      <c r="Q113" s="136"/>
      <c r="R113" s="15" t="s">
        <v>1162</v>
      </c>
      <c r="S113" s="278"/>
      <c r="T113" s="279">
        <v>1.966</v>
      </c>
      <c r="U113" s="137">
        <v>0.17499999999999999</v>
      </c>
      <c r="V113" s="134"/>
      <c r="W113" s="134"/>
      <c r="X113" s="2"/>
      <c r="Y113" s="2"/>
      <c r="Z113" s="2"/>
      <c r="AA113" s="2"/>
    </row>
    <row r="114" spans="2:27">
      <c r="B114" s="194"/>
      <c r="C114" s="194"/>
      <c r="D114" s="194"/>
      <c r="E114" s="95"/>
      <c r="F114" s="95"/>
      <c r="G114" s="95"/>
      <c r="H114" s="95"/>
      <c r="Q114" s="136"/>
      <c r="R114" s="15" t="s">
        <v>1163</v>
      </c>
      <c r="S114" s="278"/>
      <c r="T114" s="279">
        <v>5.5E-2</v>
      </c>
      <c r="U114" s="137">
        <v>6.7000000000000004E-2</v>
      </c>
      <c r="V114" s="134"/>
      <c r="W114" s="134"/>
      <c r="X114" s="2"/>
      <c r="Y114" s="2"/>
      <c r="Z114" s="2"/>
      <c r="AA114" s="2"/>
    </row>
    <row r="115" spans="2:27" ht="16.5">
      <c r="B115" s="195" t="s">
        <v>1129</v>
      </c>
      <c r="C115" s="195" t="s">
        <v>1130</v>
      </c>
      <c r="D115" s="195" t="s">
        <v>860</v>
      </c>
      <c r="E115" s="196" t="s">
        <v>1131</v>
      </c>
      <c r="F115" s="196" t="s">
        <v>1132</v>
      </c>
      <c r="G115" s="96" t="s">
        <v>1133</v>
      </c>
      <c r="H115" s="96" t="s">
        <v>1134</v>
      </c>
      <c r="Q115" s="136"/>
      <c r="R115" s="15" t="s">
        <v>1164</v>
      </c>
      <c r="S115" s="278"/>
      <c r="T115" s="279">
        <v>0.19700000000000001</v>
      </c>
      <c r="U115" s="137">
        <v>0.17499999999999999</v>
      </c>
      <c r="V115" s="134"/>
      <c r="W115" s="134"/>
      <c r="X115" s="2"/>
      <c r="Y115" s="2"/>
      <c r="Z115" s="2"/>
      <c r="AA115" s="2"/>
    </row>
    <row r="116" spans="2:27">
      <c r="B116" s="1002" t="s">
        <v>1165</v>
      </c>
      <c r="C116" s="1005" t="s">
        <v>1166</v>
      </c>
      <c r="D116" s="196" t="s">
        <v>1136</v>
      </c>
      <c r="E116" s="76">
        <v>3218.92</v>
      </c>
      <c r="F116" s="76">
        <v>3127.67</v>
      </c>
      <c r="G116" s="76">
        <v>61.46</v>
      </c>
      <c r="H116" s="76">
        <v>29.8</v>
      </c>
      <c r="Q116" s="2"/>
      <c r="R116" s="138" t="s">
        <v>1167</v>
      </c>
      <c r="S116" s="278"/>
      <c r="T116" s="279">
        <v>0.19700000000000001</v>
      </c>
      <c r="U116" s="137">
        <v>0.17499999999999999</v>
      </c>
      <c r="V116" s="134"/>
      <c r="W116" s="134"/>
      <c r="X116" s="2"/>
      <c r="Y116" s="2"/>
      <c r="Z116" s="2"/>
      <c r="AA116" s="2"/>
    </row>
    <row r="117" spans="2:27">
      <c r="B117" s="1003"/>
      <c r="C117" s="1006"/>
      <c r="D117" s="196" t="s">
        <v>554</v>
      </c>
      <c r="E117" s="94">
        <v>2.2910499999999998</v>
      </c>
      <c r="F117" s="94">
        <v>2.2261000000000002</v>
      </c>
      <c r="G117" s="94">
        <v>4.3740000000000001E-2</v>
      </c>
      <c r="H117" s="94">
        <v>2.121E-2</v>
      </c>
      <c r="Q117" s="136"/>
      <c r="R117" s="15" t="s">
        <v>1168</v>
      </c>
      <c r="S117" s="278"/>
      <c r="T117" s="277">
        <v>5.0000000000000001E-4</v>
      </c>
      <c r="U117" s="137">
        <v>1E-3</v>
      </c>
      <c r="V117" s="134"/>
      <c r="W117" s="134"/>
      <c r="X117" s="2"/>
      <c r="Y117" s="2"/>
      <c r="Z117" s="2"/>
      <c r="AA117" s="2"/>
    </row>
    <row r="118" spans="2:27">
      <c r="B118" s="1003"/>
      <c r="C118" s="1006"/>
      <c r="D118" s="196" t="s">
        <v>1137</v>
      </c>
      <c r="E118" s="94">
        <v>0.25741999999999998</v>
      </c>
      <c r="F118" s="94">
        <v>0.25013000000000002</v>
      </c>
      <c r="G118" s="94">
        <v>4.9100000000000003E-3</v>
      </c>
      <c r="H118" s="94">
        <v>2.3800000000000002E-3</v>
      </c>
      <c r="Q118" s="136"/>
      <c r="R118" s="15" t="s">
        <v>1169</v>
      </c>
      <c r="S118" s="278"/>
      <c r="T118" s="279">
        <v>5.0000000000000001E-3</v>
      </c>
      <c r="U118" s="137">
        <v>5.0000000000000001E-3</v>
      </c>
      <c r="V118" s="134"/>
      <c r="W118" s="134"/>
      <c r="X118" s="2"/>
      <c r="Y118" s="2"/>
      <c r="Z118" s="2"/>
      <c r="AA118" s="2"/>
    </row>
    <row r="119" spans="2:27" ht="15" thickBot="1">
      <c r="B119" s="1003"/>
      <c r="C119" s="1007"/>
      <c r="D119" s="196" t="s">
        <v>1138</v>
      </c>
      <c r="E119" s="94">
        <v>0.24454999999999999</v>
      </c>
      <c r="F119" s="94">
        <v>0.23762</v>
      </c>
      <c r="G119" s="94">
        <v>4.6699999999999997E-3</v>
      </c>
      <c r="H119" s="94">
        <v>2.2599999999999999E-3</v>
      </c>
      <c r="Q119" s="2"/>
      <c r="R119" s="123" t="s">
        <v>1170</v>
      </c>
      <c r="S119" s="139"/>
      <c r="T119" s="140">
        <v>5.0000000000000001E-3</v>
      </c>
      <c r="U119" s="141">
        <v>5.0000000000000001E-3</v>
      </c>
      <c r="V119" s="134"/>
      <c r="W119" s="134"/>
      <c r="X119" s="2"/>
      <c r="Y119" s="2"/>
      <c r="Z119" s="2"/>
      <c r="AA119" s="2"/>
    </row>
    <row r="120" spans="2:27">
      <c r="B120" s="1003"/>
      <c r="C120" s="1005" t="s">
        <v>1171</v>
      </c>
      <c r="D120" s="196" t="s">
        <v>1136</v>
      </c>
      <c r="E120" s="76">
        <v>3181.37</v>
      </c>
      <c r="F120" s="76">
        <v>3149.67</v>
      </c>
      <c r="G120" s="76">
        <v>1.91</v>
      </c>
      <c r="H120" s="76">
        <v>29.8</v>
      </c>
      <c r="Q120" s="2"/>
      <c r="R120" s="59" t="s">
        <v>1142</v>
      </c>
      <c r="S120" s="142"/>
      <c r="T120" s="142"/>
      <c r="U120" s="142"/>
      <c r="V120" s="134"/>
      <c r="W120" s="134"/>
      <c r="X120" s="2"/>
      <c r="Y120" s="2"/>
      <c r="Z120" s="2"/>
      <c r="AA120" s="2"/>
    </row>
    <row r="121" spans="2:27">
      <c r="B121" s="1003"/>
      <c r="C121" s="1006"/>
      <c r="D121" s="196" t="s">
        <v>554</v>
      </c>
      <c r="E121" s="94">
        <v>2.5430600000000001</v>
      </c>
      <c r="F121" s="94">
        <v>2.5177200000000002</v>
      </c>
      <c r="G121" s="94">
        <v>1.5200000000000001E-3</v>
      </c>
      <c r="H121" s="94">
        <v>2.3820000000000001E-2</v>
      </c>
      <c r="Q121" s="2"/>
      <c r="R121" s="2"/>
      <c r="S121" s="2"/>
      <c r="T121" s="2"/>
      <c r="U121" s="2"/>
      <c r="V121" s="2"/>
      <c r="W121" s="2"/>
      <c r="X121" s="2"/>
      <c r="Y121" s="2"/>
      <c r="Z121" s="2"/>
      <c r="AA121" s="2"/>
    </row>
    <row r="122" spans="2:27" ht="17.5">
      <c r="B122" s="1003"/>
      <c r="C122" s="1006"/>
      <c r="D122" s="196" t="s">
        <v>1137</v>
      </c>
      <c r="E122" s="94">
        <v>0.26079999999999998</v>
      </c>
      <c r="F122" s="94">
        <v>0.25819999999999999</v>
      </c>
      <c r="G122" s="94">
        <v>1.6000000000000001E-4</v>
      </c>
      <c r="H122" s="94">
        <v>2.4399999999999999E-3</v>
      </c>
      <c r="Q122" s="213" t="s">
        <v>1172</v>
      </c>
      <c r="R122" s="258" t="s">
        <v>1173</v>
      </c>
      <c r="S122" s="280"/>
      <c r="T122" s="280"/>
      <c r="U122" s="280"/>
      <c r="V122" s="215"/>
      <c r="W122" s="215"/>
      <c r="X122" s="215"/>
      <c r="Y122" s="215"/>
      <c r="Z122" s="215"/>
      <c r="AA122" s="216"/>
    </row>
    <row r="123" spans="2:27" ht="15" thickBot="1">
      <c r="B123" s="1003"/>
      <c r="C123" s="1007"/>
      <c r="D123" s="196" t="s">
        <v>1138</v>
      </c>
      <c r="E123" s="94">
        <v>0.24776000000000001</v>
      </c>
      <c r="F123" s="94">
        <v>0.24529000000000001</v>
      </c>
      <c r="G123" s="94">
        <v>1.4999999999999999E-4</v>
      </c>
      <c r="H123" s="94">
        <v>2.32E-3</v>
      </c>
      <c r="Q123" s="2"/>
      <c r="R123" s="88"/>
      <c r="S123" s="2"/>
      <c r="T123" s="2"/>
      <c r="U123" s="2"/>
      <c r="V123" s="2"/>
      <c r="W123" s="2"/>
      <c r="X123" s="2"/>
      <c r="Y123" s="2"/>
      <c r="Z123" s="2"/>
      <c r="AA123" s="2"/>
    </row>
    <row r="124" spans="2:27" ht="54.5" thickBot="1">
      <c r="B124" s="1003"/>
      <c r="C124" s="1011" t="s">
        <v>1174</v>
      </c>
      <c r="D124" s="196" t="s">
        <v>1136</v>
      </c>
      <c r="E124" s="76">
        <v>3165.36</v>
      </c>
      <c r="F124" s="76">
        <v>3149.67</v>
      </c>
      <c r="G124" s="76">
        <v>7.85</v>
      </c>
      <c r="H124" s="76">
        <v>7.84</v>
      </c>
      <c r="Q124" s="2"/>
      <c r="R124" s="143" t="s">
        <v>1089</v>
      </c>
      <c r="S124" s="110" t="s">
        <v>1175</v>
      </c>
      <c r="T124" s="111" t="s">
        <v>1176</v>
      </c>
      <c r="U124" s="2"/>
      <c r="V124" s="2"/>
      <c r="W124" s="2"/>
      <c r="X124" s="2"/>
      <c r="Y124" s="2"/>
      <c r="Z124" s="2"/>
      <c r="AA124" s="2"/>
    </row>
    <row r="125" spans="2:27">
      <c r="B125" s="1003"/>
      <c r="C125" s="1012"/>
      <c r="D125" s="196" t="s">
        <v>554</v>
      </c>
      <c r="E125" s="94">
        <v>2.5404200000000001</v>
      </c>
      <c r="F125" s="94">
        <v>2.5278200000000002</v>
      </c>
      <c r="G125" s="94">
        <v>6.3E-3</v>
      </c>
      <c r="H125" s="94">
        <v>6.3E-3</v>
      </c>
      <c r="Q125" s="2"/>
      <c r="R125" s="15" t="s">
        <v>1177</v>
      </c>
      <c r="S125" s="253">
        <v>0.11</v>
      </c>
      <c r="T125" s="47">
        <v>0.56999999999999995</v>
      </c>
      <c r="U125" s="2"/>
      <c r="V125" s="144"/>
      <c r="W125" s="144"/>
      <c r="X125" s="2"/>
      <c r="Y125" s="2"/>
      <c r="Z125" s="2"/>
      <c r="AA125" s="2"/>
    </row>
    <row r="126" spans="2:27">
      <c r="B126" s="1003"/>
      <c r="C126" s="1012"/>
      <c r="D126" s="196" t="s">
        <v>1137</v>
      </c>
      <c r="E126" s="94">
        <v>0.25974000000000003</v>
      </c>
      <c r="F126" s="94">
        <v>0.25845000000000001</v>
      </c>
      <c r="G126" s="94">
        <v>6.4000000000000005E-4</v>
      </c>
      <c r="H126" s="94">
        <v>6.4000000000000005E-4</v>
      </c>
      <c r="Q126" s="2"/>
      <c r="R126" s="15" t="s">
        <v>626</v>
      </c>
      <c r="S126" s="253">
        <v>0.64</v>
      </c>
      <c r="T126" s="47">
        <v>0.22</v>
      </c>
      <c r="U126" s="2"/>
      <c r="V126" s="144"/>
      <c r="W126" s="144"/>
      <c r="X126" s="2"/>
      <c r="Y126" s="2"/>
      <c r="Z126" s="2"/>
      <c r="AA126" s="2"/>
    </row>
    <row r="127" spans="2:27">
      <c r="B127" s="1003"/>
      <c r="C127" s="1013"/>
      <c r="D127" s="196" t="s">
        <v>1138</v>
      </c>
      <c r="E127" s="94">
        <v>0.24675</v>
      </c>
      <c r="F127" s="94">
        <v>0.24553</v>
      </c>
      <c r="G127" s="94">
        <v>6.0999999999999997E-4</v>
      </c>
      <c r="H127" s="94">
        <v>6.0999999999999997E-4</v>
      </c>
      <c r="Q127" s="2"/>
      <c r="R127" s="15" t="s">
        <v>673</v>
      </c>
      <c r="S127" s="253">
        <v>0.06</v>
      </c>
      <c r="T127" s="47">
        <v>0.45</v>
      </c>
      <c r="U127" s="2"/>
      <c r="V127" s="144"/>
      <c r="W127" s="144"/>
      <c r="X127" s="2"/>
      <c r="Y127" s="2"/>
      <c r="Z127" s="2"/>
      <c r="AA127" s="2"/>
    </row>
    <row r="128" spans="2:27">
      <c r="B128" s="1003"/>
      <c r="C128" s="1011" t="s">
        <v>1178</v>
      </c>
      <c r="D128" s="196" t="s">
        <v>1136</v>
      </c>
      <c r="E128" s="76">
        <v>3088.23</v>
      </c>
      <c r="F128" s="76">
        <v>3047</v>
      </c>
      <c r="G128" s="76">
        <v>0.36</v>
      </c>
      <c r="H128" s="76">
        <v>40.86</v>
      </c>
      <c r="Q128" s="2"/>
      <c r="R128" s="15" t="s">
        <v>1179</v>
      </c>
      <c r="S128" s="253">
        <v>0.8</v>
      </c>
      <c r="T128" s="47">
        <v>0.26</v>
      </c>
      <c r="U128" s="2"/>
      <c r="V128" s="144"/>
      <c r="W128" s="144"/>
      <c r="X128" s="2"/>
      <c r="Y128" s="2"/>
      <c r="Z128" s="2"/>
      <c r="AA128" s="2"/>
    </row>
    <row r="129" spans="2:28">
      <c r="B129" s="1003"/>
      <c r="C129" s="1012"/>
      <c r="D129" s="196" t="s">
        <v>554</v>
      </c>
      <c r="E129" s="94">
        <v>2.5941100000000001</v>
      </c>
      <c r="F129" s="94">
        <v>2.5595599999999998</v>
      </c>
      <c r="G129" s="94">
        <v>2.9999999999999997E-4</v>
      </c>
      <c r="H129" s="94">
        <v>3.4250000000000003E-2</v>
      </c>
      <c r="Q129" s="2"/>
      <c r="R129" s="15" t="s">
        <v>1180</v>
      </c>
      <c r="S129" s="253">
        <v>1.26</v>
      </c>
      <c r="T129" s="47">
        <v>0.22</v>
      </c>
      <c r="U129" s="2"/>
      <c r="V129" s="144"/>
      <c r="W129" s="144"/>
      <c r="X129" s="2"/>
      <c r="Y129" s="2"/>
      <c r="Z129" s="2"/>
      <c r="AA129" s="2"/>
    </row>
    <row r="130" spans="2:28">
      <c r="B130" s="1003"/>
      <c r="C130" s="1012"/>
      <c r="D130" s="196" t="s">
        <v>1137</v>
      </c>
      <c r="E130" s="94">
        <v>0.26023000000000002</v>
      </c>
      <c r="F130" s="94">
        <v>0.25677</v>
      </c>
      <c r="G130" s="94">
        <v>3.0000000000000001E-5</v>
      </c>
      <c r="H130" s="94">
        <v>3.4299999999999999E-3</v>
      </c>
      <c r="Q130" s="2"/>
      <c r="R130" s="15" t="s">
        <v>1181</v>
      </c>
      <c r="S130" s="253">
        <v>1.44</v>
      </c>
      <c r="T130" s="47">
        <v>0.26</v>
      </c>
      <c r="U130" s="2"/>
      <c r="V130" s="144"/>
      <c r="W130" s="144"/>
      <c r="X130" s="2"/>
      <c r="Y130" s="2"/>
      <c r="Z130" s="2"/>
      <c r="AA130" s="2"/>
    </row>
    <row r="131" spans="2:28">
      <c r="B131" s="1003"/>
      <c r="C131" s="1013"/>
      <c r="D131" s="196" t="s">
        <v>1138</v>
      </c>
      <c r="E131" s="94">
        <v>0.24462</v>
      </c>
      <c r="F131" s="94">
        <v>0.24137</v>
      </c>
      <c r="G131" s="94">
        <v>3.0000000000000001E-5</v>
      </c>
      <c r="H131" s="94">
        <v>3.2200000000000002E-3</v>
      </c>
      <c r="Q131" s="2"/>
      <c r="R131" s="15" t="s">
        <v>1182</v>
      </c>
      <c r="S131" s="253">
        <v>0.5</v>
      </c>
      <c r="T131" s="47">
        <v>0.22</v>
      </c>
      <c r="U131" s="2"/>
      <c r="V131" s="144"/>
      <c r="W131" s="144"/>
      <c r="X131" s="2"/>
      <c r="Y131" s="2"/>
      <c r="Z131" s="2"/>
      <c r="AA131" s="2"/>
    </row>
    <row r="132" spans="2:28">
      <c r="B132" s="1003"/>
      <c r="C132" s="1011" t="s">
        <v>1183</v>
      </c>
      <c r="D132" s="196" t="s">
        <v>1136</v>
      </c>
      <c r="E132" s="76">
        <v>3205.55</v>
      </c>
      <c r="F132" s="76">
        <v>3164.33</v>
      </c>
      <c r="G132" s="76">
        <v>0.36</v>
      </c>
      <c r="H132" s="76">
        <v>40.86</v>
      </c>
      <c r="Q132" s="2"/>
      <c r="R132" s="15" t="s">
        <v>1184</v>
      </c>
      <c r="S132" s="281">
        <v>0.56999999999999995</v>
      </c>
      <c r="T132" s="47">
        <v>0.26</v>
      </c>
      <c r="U132" s="2"/>
      <c r="V132" s="144"/>
      <c r="W132" s="144"/>
      <c r="X132" s="2"/>
      <c r="Y132" s="2"/>
      <c r="Z132" s="2"/>
      <c r="AA132" s="2"/>
    </row>
    <row r="133" spans="2:28">
      <c r="B133" s="1003"/>
      <c r="C133" s="1012"/>
      <c r="D133" s="196" t="s">
        <v>554</v>
      </c>
      <c r="E133" s="94">
        <v>2.6869700000000001</v>
      </c>
      <c r="F133" s="94">
        <v>2.6524200000000002</v>
      </c>
      <c r="G133" s="94">
        <v>2.9999999999999997E-4</v>
      </c>
      <c r="H133" s="94">
        <v>3.4250000000000003E-2</v>
      </c>
      <c r="Q133" s="2"/>
      <c r="R133" s="15" t="s">
        <v>734</v>
      </c>
      <c r="S133" s="281">
        <v>0</v>
      </c>
      <c r="T133" s="47">
        <v>0.3</v>
      </c>
      <c r="U133" s="2"/>
      <c r="V133" s="144"/>
      <c r="W133" s="144"/>
      <c r="X133" s="2"/>
      <c r="Y133" s="2"/>
      <c r="Z133" s="2"/>
      <c r="AA133" s="2"/>
    </row>
    <row r="134" spans="2:28">
      <c r="B134" s="1003"/>
      <c r="C134" s="1012"/>
      <c r="D134" s="196" t="s">
        <v>1137</v>
      </c>
      <c r="E134" s="94">
        <v>0.26879999999999998</v>
      </c>
      <c r="F134" s="94">
        <v>0.26534000000000002</v>
      </c>
      <c r="G134" s="94">
        <v>3.0000000000000001E-5</v>
      </c>
      <c r="H134" s="94">
        <v>3.4299999999999999E-3</v>
      </c>
      <c r="Q134" s="2"/>
      <c r="R134" s="15" t="s">
        <v>739</v>
      </c>
      <c r="S134" s="253">
        <v>7.06</v>
      </c>
      <c r="T134" s="47">
        <v>0.11</v>
      </c>
      <c r="U134" s="2"/>
      <c r="V134" s="144"/>
      <c r="W134" s="144"/>
      <c r="X134" s="2"/>
      <c r="Y134" s="2"/>
      <c r="Z134" s="2"/>
      <c r="AA134" s="2"/>
    </row>
    <row r="135" spans="2:28">
      <c r="B135" s="1003"/>
      <c r="C135" s="1013"/>
      <c r="D135" s="196" t="s">
        <v>1138</v>
      </c>
      <c r="E135" s="94">
        <v>0.25267000000000001</v>
      </c>
      <c r="F135" s="94">
        <v>0.24942</v>
      </c>
      <c r="G135" s="94">
        <v>3.0000000000000001E-5</v>
      </c>
      <c r="H135" s="94">
        <v>3.2200000000000002E-3</v>
      </c>
      <c r="Q135" s="2"/>
      <c r="R135" s="15" t="s">
        <v>637</v>
      </c>
      <c r="S135" s="253">
        <v>0.5</v>
      </c>
      <c r="T135" s="47">
        <v>0.22</v>
      </c>
      <c r="U135" s="2"/>
      <c r="V135" s="144"/>
      <c r="W135" s="144"/>
      <c r="X135" s="2"/>
      <c r="Y135" s="2"/>
      <c r="Z135" s="2"/>
      <c r="AA135" s="2"/>
    </row>
    <row r="136" spans="2:28">
      <c r="B136" s="1003"/>
      <c r="C136" s="1011" t="s">
        <v>1185</v>
      </c>
      <c r="D136" s="196" t="s">
        <v>1136</v>
      </c>
      <c r="E136" s="76">
        <v>3217.82</v>
      </c>
      <c r="F136" s="76">
        <v>3205.85</v>
      </c>
      <c r="G136" s="76">
        <v>4.16</v>
      </c>
      <c r="H136" s="76">
        <v>7.81</v>
      </c>
      <c r="Q136" s="2"/>
      <c r="R136" s="15" t="s">
        <v>684</v>
      </c>
      <c r="S136" s="253">
        <v>0.56999999999999995</v>
      </c>
      <c r="T136" s="47">
        <v>0.26</v>
      </c>
      <c r="U136" s="2"/>
      <c r="V136" s="144"/>
      <c r="W136" s="144"/>
      <c r="X136" s="2"/>
      <c r="Y136" s="2"/>
      <c r="Z136" s="2"/>
      <c r="AA136" s="2"/>
    </row>
    <row r="137" spans="2:28">
      <c r="B137" s="1003"/>
      <c r="C137" s="1012"/>
      <c r="D137" s="196" t="s">
        <v>554</v>
      </c>
      <c r="E137" s="94">
        <v>3.1796600000000002</v>
      </c>
      <c r="F137" s="94">
        <v>3.16784</v>
      </c>
      <c r="G137" s="94">
        <v>4.1099999999999999E-3</v>
      </c>
      <c r="H137" s="94">
        <v>7.7099999999999998E-3</v>
      </c>
      <c r="Q137" s="2"/>
      <c r="R137" s="145" t="s">
        <v>1186</v>
      </c>
      <c r="S137" s="146">
        <v>0.5</v>
      </c>
      <c r="T137" s="147">
        <v>0.22</v>
      </c>
      <c r="U137" s="2"/>
      <c r="V137" s="144"/>
      <c r="W137" s="144"/>
      <c r="X137" s="2"/>
      <c r="Y137" s="2"/>
      <c r="Z137" s="2"/>
      <c r="AA137" s="2"/>
    </row>
    <row r="138" spans="2:28" ht="15" thickBot="1">
      <c r="B138" s="1003"/>
      <c r="C138" s="1012"/>
      <c r="D138" s="196" t="s">
        <v>1137</v>
      </c>
      <c r="E138" s="94">
        <v>0.28492000000000001</v>
      </c>
      <c r="F138" s="94">
        <v>0.28386</v>
      </c>
      <c r="G138" s="94">
        <v>3.6999999999999999E-4</v>
      </c>
      <c r="H138" s="94">
        <v>6.8999999999999997E-4</v>
      </c>
      <c r="Q138" s="2"/>
      <c r="R138" s="148" t="s">
        <v>1187</v>
      </c>
      <c r="S138" s="57">
        <v>0.56999999999999995</v>
      </c>
      <c r="T138" s="149">
        <v>0.26</v>
      </c>
      <c r="U138" s="2"/>
      <c r="V138" s="144"/>
      <c r="W138" s="144"/>
      <c r="X138" s="2"/>
      <c r="Y138" s="2"/>
      <c r="Z138" s="2"/>
      <c r="AA138" s="2"/>
    </row>
    <row r="139" spans="2:28">
      <c r="B139" s="1003"/>
      <c r="C139" s="1013"/>
      <c r="D139" s="196" t="s">
        <v>1138</v>
      </c>
      <c r="E139" s="94">
        <v>0.26782</v>
      </c>
      <c r="F139" s="94">
        <v>0.26683000000000001</v>
      </c>
      <c r="G139" s="94">
        <v>3.5E-4</v>
      </c>
      <c r="H139" s="94">
        <v>6.4999999999999997E-4</v>
      </c>
      <c r="Q139" s="2"/>
      <c r="R139" s="59" t="s">
        <v>1188</v>
      </c>
      <c r="S139" s="287"/>
      <c r="T139" s="287"/>
      <c r="U139" s="287"/>
      <c r="V139" s="287"/>
      <c r="W139" s="287"/>
      <c r="X139" s="2"/>
      <c r="Y139" s="2"/>
      <c r="Z139" s="2"/>
      <c r="AA139" s="2"/>
    </row>
    <row r="140" spans="2:28">
      <c r="B140" s="1003"/>
      <c r="C140" s="1011" t="s">
        <v>1189</v>
      </c>
      <c r="D140" s="196" t="s">
        <v>1136</v>
      </c>
      <c r="E140" s="76">
        <v>3229.86</v>
      </c>
      <c r="F140" s="76">
        <v>3190</v>
      </c>
      <c r="G140" s="76">
        <v>3.43</v>
      </c>
      <c r="H140" s="76">
        <v>36.43</v>
      </c>
      <c r="Q140" s="2"/>
      <c r="R140" s="150" t="s">
        <v>1190</v>
      </c>
      <c r="S140" s="287"/>
      <c r="T140" s="287"/>
      <c r="U140" s="287"/>
      <c r="V140" s="287"/>
      <c r="W140" s="287"/>
      <c r="X140" s="2"/>
      <c r="Y140" s="2"/>
      <c r="Z140" s="2"/>
      <c r="AA140" s="2"/>
    </row>
    <row r="141" spans="2:28">
      <c r="B141" s="1003"/>
      <c r="C141" s="1012"/>
      <c r="D141" s="196" t="s">
        <v>554</v>
      </c>
      <c r="E141" s="94">
        <v>2.7582100000000001</v>
      </c>
      <c r="F141" s="94">
        <v>2.72417</v>
      </c>
      <c r="G141" s="94">
        <v>2.9299999999999999E-3</v>
      </c>
      <c r="H141" s="94">
        <v>3.1109999999999999E-2</v>
      </c>
    </row>
    <row r="142" spans="2:28">
      <c r="B142" s="1003"/>
      <c r="C142" s="1012"/>
      <c r="D142" s="196" t="s">
        <v>1137</v>
      </c>
      <c r="E142" s="94">
        <v>0.27315</v>
      </c>
      <c r="F142" s="94">
        <v>0.26978000000000002</v>
      </c>
      <c r="G142" s="94">
        <v>2.9E-4</v>
      </c>
      <c r="H142" s="94">
        <v>3.0799999999999998E-3</v>
      </c>
    </row>
    <row r="143" spans="2:28" ht="15.5">
      <c r="B143" s="1003"/>
      <c r="C143" s="1013"/>
      <c r="D143" s="196" t="s">
        <v>1138</v>
      </c>
      <c r="E143" s="94">
        <v>0.25675999999999999</v>
      </c>
      <c r="F143" s="94">
        <v>0.25358999999999998</v>
      </c>
      <c r="G143" s="94">
        <v>2.7E-4</v>
      </c>
      <c r="H143" s="94">
        <v>2.8999999999999998E-3</v>
      </c>
      <c r="Q143" s="213" t="s">
        <v>1191</v>
      </c>
      <c r="R143" s="1028" t="s">
        <v>1192</v>
      </c>
      <c r="S143" s="1029"/>
      <c r="T143" s="1029"/>
      <c r="U143" s="1029"/>
      <c r="V143" s="1029"/>
      <c r="W143" s="215"/>
      <c r="X143" s="215"/>
      <c r="Y143" s="215"/>
      <c r="Z143" s="215"/>
      <c r="AA143" s="216"/>
      <c r="AB143" s="2"/>
    </row>
    <row r="144" spans="2:28" ht="15" thickBot="1">
      <c r="B144" s="1003"/>
      <c r="C144" s="1011" t="s">
        <v>705</v>
      </c>
      <c r="D144" s="196" t="s">
        <v>1136</v>
      </c>
      <c r="E144" s="76">
        <v>3181.89</v>
      </c>
      <c r="F144" s="76">
        <v>3171.09</v>
      </c>
      <c r="G144" s="76">
        <v>3.19</v>
      </c>
      <c r="H144" s="76">
        <v>7.61</v>
      </c>
      <c r="Q144" s="106"/>
      <c r="R144" s="106"/>
      <c r="S144" s="106"/>
      <c r="T144" s="106"/>
      <c r="U144" s="106"/>
      <c r="V144" s="106"/>
      <c r="W144" s="106"/>
      <c r="X144" s="106"/>
      <c r="Y144" s="106"/>
      <c r="Z144" s="106"/>
      <c r="AA144" s="106"/>
      <c r="AB144" s="106"/>
    </row>
    <row r="145" spans="2:28" ht="54.5" thickBot="1">
      <c r="B145" s="1003"/>
      <c r="C145" s="1012"/>
      <c r="D145" s="196" t="s">
        <v>554</v>
      </c>
      <c r="E145" s="75"/>
      <c r="F145" s="75"/>
      <c r="G145" s="75"/>
      <c r="H145" s="75"/>
      <c r="Q145" s="1"/>
      <c r="R145" s="143" t="s">
        <v>1089</v>
      </c>
      <c r="S145" s="110" t="s">
        <v>1193</v>
      </c>
      <c r="T145" s="110" t="s">
        <v>1194</v>
      </c>
      <c r="U145" s="110" t="s">
        <v>1195</v>
      </c>
      <c r="V145" s="111" t="s">
        <v>404</v>
      </c>
      <c r="W145" s="2"/>
      <c r="X145" s="2"/>
      <c r="Y145" s="2"/>
      <c r="Z145" s="2"/>
      <c r="AA145" s="2"/>
      <c r="AB145" s="2"/>
    </row>
    <row r="146" spans="2:28" ht="15.5">
      <c r="B146" s="1003"/>
      <c r="C146" s="1012"/>
      <c r="D146" s="196" t="s">
        <v>1137</v>
      </c>
      <c r="E146" s="94">
        <v>0.26909</v>
      </c>
      <c r="F146" s="94">
        <v>0.26817999999999997</v>
      </c>
      <c r="G146" s="94">
        <v>2.7E-4</v>
      </c>
      <c r="H146" s="94">
        <v>6.4000000000000005E-4</v>
      </c>
      <c r="Q146" s="1"/>
      <c r="R146" s="151" t="s">
        <v>1196</v>
      </c>
      <c r="S146" s="152">
        <v>0.34300000000000003</v>
      </c>
      <c r="T146" s="152">
        <v>1.9E-2</v>
      </c>
      <c r="U146" s="152">
        <v>1.0999999999999999E-2</v>
      </c>
      <c r="V146" s="153" t="s">
        <v>512</v>
      </c>
      <c r="W146" s="17"/>
      <c r="X146" s="17"/>
      <c r="Y146" s="17"/>
      <c r="Z146" s="2"/>
      <c r="AA146" s="2"/>
      <c r="AB146" s="2"/>
    </row>
    <row r="147" spans="2:28" ht="15.5">
      <c r="B147" s="1003"/>
      <c r="C147" s="1013"/>
      <c r="D147" s="196" t="s">
        <v>1138</v>
      </c>
      <c r="E147" s="94">
        <v>0.25294</v>
      </c>
      <c r="F147" s="94">
        <v>0.25208000000000003</v>
      </c>
      <c r="G147" s="94">
        <v>2.5000000000000001E-4</v>
      </c>
      <c r="H147" s="94">
        <v>6.0999999999999997E-4</v>
      </c>
      <c r="Q147" s="1"/>
      <c r="R147" s="18" t="s">
        <v>1197</v>
      </c>
      <c r="S147" s="282">
        <v>0.47199999999999998</v>
      </c>
      <c r="T147" s="282">
        <v>1.9E-2</v>
      </c>
      <c r="U147" s="282">
        <v>1.7999999999999999E-2</v>
      </c>
      <c r="V147" s="154" t="s">
        <v>512</v>
      </c>
      <c r="W147" s="17"/>
      <c r="X147" s="17"/>
      <c r="Y147" s="17"/>
      <c r="Z147" s="2"/>
      <c r="AA147" s="2"/>
      <c r="AB147" s="2"/>
    </row>
    <row r="148" spans="2:28">
      <c r="B148" s="1003"/>
      <c r="C148" s="1011" t="s">
        <v>1198</v>
      </c>
      <c r="D148" s="196" t="s">
        <v>1136</v>
      </c>
      <c r="E148" s="76">
        <v>3142.87</v>
      </c>
      <c r="F148" s="76">
        <v>3131.33</v>
      </c>
      <c r="G148" s="76">
        <v>3.41</v>
      </c>
      <c r="H148" s="76">
        <v>8.1300000000000008</v>
      </c>
      <c r="Q148" s="1"/>
      <c r="R148" s="18" t="s">
        <v>525</v>
      </c>
      <c r="S148" s="282">
        <v>0.189</v>
      </c>
      <c r="T148" s="266">
        <v>7.0000000000000007E-2</v>
      </c>
      <c r="U148" s="266">
        <v>7.0000000000000001E-3</v>
      </c>
      <c r="V148" s="154" t="s">
        <v>512</v>
      </c>
      <c r="W148" s="17"/>
      <c r="X148" s="17"/>
      <c r="Y148" s="17"/>
      <c r="Z148" s="2"/>
      <c r="AA148" s="2"/>
      <c r="AB148" s="2"/>
    </row>
    <row r="149" spans="2:28" ht="15.5">
      <c r="B149" s="1003"/>
      <c r="C149" s="1012"/>
      <c r="D149" s="196" t="s">
        <v>554</v>
      </c>
      <c r="E149" s="75"/>
      <c r="F149" s="75"/>
      <c r="G149" s="75"/>
      <c r="H149" s="75"/>
      <c r="Q149" s="1"/>
      <c r="R149" s="18" t="s">
        <v>1199</v>
      </c>
      <c r="S149" s="283">
        <v>0.14000000000000001</v>
      </c>
      <c r="T149" s="284">
        <v>8.6999999999999994E-3</v>
      </c>
      <c r="U149" s="284">
        <v>3.0999999999999999E-3</v>
      </c>
      <c r="V149" s="154" t="s">
        <v>494</v>
      </c>
      <c r="W149" s="17"/>
      <c r="X149" s="17"/>
      <c r="Y149" s="112"/>
      <c r="Z149" s="155"/>
      <c r="AA149" s="2"/>
      <c r="AB149" s="2"/>
    </row>
    <row r="150" spans="2:28" ht="15.5">
      <c r="B150" s="1003"/>
      <c r="C150" s="1012"/>
      <c r="D150" s="196" t="s">
        <v>1137</v>
      </c>
      <c r="E150" s="94">
        <v>0.24893999999999999</v>
      </c>
      <c r="F150" s="94">
        <v>0.24803</v>
      </c>
      <c r="G150" s="94">
        <v>2.7E-4</v>
      </c>
      <c r="H150" s="94">
        <v>6.4000000000000005E-4</v>
      </c>
      <c r="Q150" s="1"/>
      <c r="R150" s="156" t="s">
        <v>1200</v>
      </c>
      <c r="S150" s="283">
        <v>0.161</v>
      </c>
      <c r="T150" s="284">
        <v>8.0999999999999996E-3</v>
      </c>
      <c r="U150" s="284">
        <v>3.2000000000000002E-3</v>
      </c>
      <c r="V150" s="154" t="s">
        <v>494</v>
      </c>
      <c r="W150" s="17"/>
      <c r="X150" s="17"/>
      <c r="Y150" s="112"/>
      <c r="Z150" s="155"/>
      <c r="AA150" s="2"/>
      <c r="AB150" s="2"/>
    </row>
    <row r="151" spans="2:28" ht="15.5">
      <c r="B151" s="1003"/>
      <c r="C151" s="1013"/>
      <c r="D151" s="77" t="s">
        <v>1138</v>
      </c>
      <c r="E151" s="78">
        <v>0.23649999999999999</v>
      </c>
      <c r="F151" s="78">
        <v>0.23563000000000001</v>
      </c>
      <c r="G151" s="78">
        <v>2.5999999999999998E-4</v>
      </c>
      <c r="H151" s="78">
        <v>6.0999999999999997E-4</v>
      </c>
      <c r="Q151" s="1"/>
      <c r="R151" s="156" t="s">
        <v>1201</v>
      </c>
      <c r="S151" s="283">
        <v>0.11899999999999999</v>
      </c>
      <c r="T151" s="284">
        <v>2.5000000000000001E-3</v>
      </c>
      <c r="U151" s="284">
        <v>1.6999999999999999E-3</v>
      </c>
      <c r="V151" s="154" t="s">
        <v>494</v>
      </c>
      <c r="W151" s="17"/>
      <c r="X151" s="17"/>
      <c r="Y151" s="112"/>
      <c r="Z151" s="155"/>
      <c r="AA151" s="2"/>
      <c r="AB151" s="2"/>
    </row>
    <row r="152" spans="2:28">
      <c r="B152" s="1003"/>
      <c r="C152" s="1008" t="s">
        <v>1202</v>
      </c>
      <c r="D152" s="80" t="s">
        <v>1136</v>
      </c>
      <c r="E152" s="81">
        <v>2997.5</v>
      </c>
      <c r="F152" s="81">
        <v>2979.53</v>
      </c>
      <c r="G152" s="81">
        <v>9.3699999999999992</v>
      </c>
      <c r="H152" s="82">
        <v>8.6</v>
      </c>
      <c r="Q152" s="1"/>
      <c r="R152" s="156" t="s">
        <v>476</v>
      </c>
      <c r="S152" s="282">
        <v>5.6000000000000001E-2</v>
      </c>
      <c r="T152" s="285">
        <v>1.2917147824303154E-3</v>
      </c>
      <c r="U152" s="274">
        <v>8.6692267277202364E-4</v>
      </c>
      <c r="V152" s="154" t="s">
        <v>494</v>
      </c>
      <c r="W152" s="17"/>
      <c r="X152" s="17"/>
      <c r="Y152" s="17"/>
      <c r="Z152" s="2"/>
      <c r="AA152" s="2"/>
      <c r="AB152" s="2"/>
    </row>
    <row r="153" spans="2:28">
      <c r="B153" s="1003"/>
      <c r="C153" s="1009"/>
      <c r="D153" s="83" t="s">
        <v>554</v>
      </c>
      <c r="E153" s="94">
        <v>2.2090399999999999</v>
      </c>
      <c r="F153" s="94">
        <v>2.1958500000000001</v>
      </c>
      <c r="G153" s="94">
        <v>6.8799999999999998E-3</v>
      </c>
      <c r="H153" s="84">
        <v>6.3099999999999996E-3</v>
      </c>
      <c r="Q153" s="71"/>
      <c r="R153" s="18" t="s">
        <v>558</v>
      </c>
      <c r="S153" s="152">
        <v>0.22500000000000001</v>
      </c>
      <c r="T153" s="274">
        <v>3.8999999999999998E-3</v>
      </c>
      <c r="U153" s="274">
        <v>7.1753814281706558E-3</v>
      </c>
      <c r="V153" s="154" t="s">
        <v>494</v>
      </c>
      <c r="W153" s="25"/>
      <c r="X153" s="17"/>
      <c r="Y153" s="17"/>
      <c r="Z153" s="2"/>
      <c r="AA153" s="2"/>
      <c r="AB153" s="2"/>
    </row>
    <row r="154" spans="2:28" ht="101">
      <c r="B154" s="1003"/>
      <c r="C154" s="1009"/>
      <c r="D154" s="83" t="s">
        <v>1137</v>
      </c>
      <c r="E154" s="94">
        <v>0.24603</v>
      </c>
      <c r="F154" s="94">
        <v>0.24457999999999999</v>
      </c>
      <c r="G154" s="94">
        <v>7.5000000000000002E-4</v>
      </c>
      <c r="H154" s="84">
        <v>6.8999999999999997E-4</v>
      </c>
      <c r="Q154" s="71"/>
      <c r="R154" s="157" t="s">
        <v>565</v>
      </c>
      <c r="S154" s="282">
        <v>0.13600000000000001</v>
      </c>
      <c r="T154" s="274">
        <v>5.9999999999999995E-4</v>
      </c>
      <c r="U154" s="274">
        <v>4.3E-3</v>
      </c>
      <c r="V154" s="154" t="s">
        <v>494</v>
      </c>
      <c r="W154" s="17"/>
      <c r="X154" s="17"/>
      <c r="Y154" s="17"/>
      <c r="Z154" s="2"/>
      <c r="AA154" s="2"/>
      <c r="AB154" s="2"/>
    </row>
    <row r="155" spans="2:28" ht="15" thickBot="1">
      <c r="B155" s="1003"/>
      <c r="C155" s="1010"/>
      <c r="D155" s="85" t="s">
        <v>1138</v>
      </c>
      <c r="E155" s="86">
        <v>0.23372999999999999</v>
      </c>
      <c r="F155" s="86">
        <v>0.23235</v>
      </c>
      <c r="G155" s="86">
        <v>7.2000000000000005E-4</v>
      </c>
      <c r="H155" s="87">
        <v>6.6E-4</v>
      </c>
      <c r="Q155" s="71"/>
      <c r="R155" s="54" t="s">
        <v>571</v>
      </c>
      <c r="S155" s="158">
        <v>0.16600000000000001</v>
      </c>
      <c r="T155" s="159">
        <v>5.9999999999999995E-4</v>
      </c>
      <c r="U155" s="160">
        <v>5.3E-3</v>
      </c>
      <c r="V155" s="161" t="s">
        <v>494</v>
      </c>
      <c r="W155" s="17"/>
      <c r="X155" s="17"/>
      <c r="Y155" s="17"/>
      <c r="Z155" s="2"/>
      <c r="AA155" s="2"/>
      <c r="AB155" s="2"/>
    </row>
    <row r="156" spans="2:28">
      <c r="B156" s="1003"/>
      <c r="C156" s="1011" t="s">
        <v>1203</v>
      </c>
      <c r="D156" s="202" t="s">
        <v>1136</v>
      </c>
      <c r="E156" s="79">
        <v>3152.96</v>
      </c>
      <c r="F156" s="79">
        <v>3135</v>
      </c>
      <c r="G156" s="79">
        <v>9.3699999999999992</v>
      </c>
      <c r="H156" s="79">
        <v>8.6</v>
      </c>
      <c r="Q156" s="71"/>
      <c r="R156" s="1020" t="s">
        <v>1204</v>
      </c>
      <c r="S156" s="1020"/>
      <c r="T156" s="1020"/>
      <c r="U156" s="1020"/>
      <c r="V156" s="1020"/>
      <c r="W156" s="1020"/>
      <c r="X156" s="1020"/>
      <c r="Y156" s="1020"/>
      <c r="Z156" s="1020"/>
      <c r="AA156" s="1020"/>
      <c r="AB156" s="2"/>
    </row>
    <row r="157" spans="2:28">
      <c r="B157" s="1003"/>
      <c r="C157" s="1012"/>
      <c r="D157" s="196" t="s">
        <v>554</v>
      </c>
      <c r="E157" s="94">
        <v>2.3149500000000001</v>
      </c>
      <c r="F157" s="94">
        <v>2.3017599999999998</v>
      </c>
      <c r="G157" s="94">
        <v>6.8799999999999998E-3</v>
      </c>
      <c r="H157" s="94">
        <v>6.3099999999999996E-3</v>
      </c>
      <c r="Q157" s="1"/>
      <c r="R157" s="1020" t="s">
        <v>1205</v>
      </c>
      <c r="S157" s="1020"/>
      <c r="T157" s="1020"/>
      <c r="U157" s="1020"/>
      <c r="V157" s="1020"/>
      <c r="W157" s="1020"/>
      <c r="X157" s="1020"/>
      <c r="Y157" s="1020"/>
      <c r="Z157" s="1020"/>
      <c r="AA157" s="1020"/>
      <c r="AB157" s="2"/>
    </row>
    <row r="158" spans="2:28">
      <c r="B158" s="1003"/>
      <c r="C158" s="1012"/>
      <c r="D158" s="196" t="s">
        <v>1137</v>
      </c>
      <c r="E158" s="94">
        <v>0.25367000000000001</v>
      </c>
      <c r="F158" s="94">
        <v>0.25223000000000001</v>
      </c>
      <c r="G158" s="94">
        <v>7.5000000000000002E-4</v>
      </c>
      <c r="H158" s="94">
        <v>6.8999999999999997E-4</v>
      </c>
      <c r="Q158" s="1"/>
      <c r="R158" s="287"/>
      <c r="S158" s="287"/>
      <c r="T158" s="287"/>
      <c r="U158" s="287"/>
      <c r="V158" s="287"/>
      <c r="W158" s="287"/>
      <c r="X158" s="287"/>
      <c r="Y158" s="287"/>
      <c r="Z158" s="287"/>
      <c r="AA158" s="287"/>
      <c r="AB158" s="2"/>
    </row>
    <row r="159" spans="2:28" ht="15.5">
      <c r="B159" s="1003"/>
      <c r="C159" s="1013"/>
      <c r="D159" s="196" t="s">
        <v>1138</v>
      </c>
      <c r="E159" s="94">
        <v>0.24099000000000001</v>
      </c>
      <c r="F159" s="94">
        <v>0.23960999999999999</v>
      </c>
      <c r="G159" s="94">
        <v>7.2000000000000005E-4</v>
      </c>
      <c r="H159" s="94">
        <v>6.6E-4</v>
      </c>
      <c r="Q159" s="213" t="s">
        <v>1206</v>
      </c>
      <c r="R159" s="258" t="s">
        <v>1207</v>
      </c>
      <c r="S159" s="286"/>
      <c r="T159" s="286"/>
      <c r="U159" s="215"/>
      <c r="V159" s="215"/>
      <c r="W159" s="215"/>
      <c r="X159" s="215"/>
      <c r="Y159" s="215"/>
      <c r="Z159" s="215"/>
      <c r="AA159" s="216"/>
      <c r="AB159" s="2"/>
    </row>
    <row r="160" spans="2:28" ht="15" thickBot="1">
      <c r="B160" s="1003"/>
      <c r="C160" s="1011" t="s">
        <v>1208</v>
      </c>
      <c r="D160" s="196" t="s">
        <v>1136</v>
      </c>
      <c r="E160" s="76">
        <v>3217.82</v>
      </c>
      <c r="F160" s="76">
        <v>3205.85</v>
      </c>
      <c r="G160" s="76">
        <v>4.16</v>
      </c>
      <c r="H160" s="76">
        <v>7.81</v>
      </c>
      <c r="Q160" s="1"/>
      <c r="R160" s="287"/>
      <c r="S160" s="287"/>
      <c r="T160" s="287"/>
      <c r="U160" s="287"/>
      <c r="V160" s="287"/>
      <c r="W160" s="287"/>
      <c r="X160" s="287"/>
      <c r="Y160" s="287"/>
      <c r="Z160" s="287"/>
      <c r="AA160" s="287"/>
      <c r="AB160" s="2"/>
    </row>
    <row r="161" spans="2:51" ht="54.5" thickBot="1">
      <c r="B161" s="1003"/>
      <c r="C161" s="1012"/>
      <c r="D161" s="196" t="s">
        <v>554</v>
      </c>
      <c r="E161" s="94">
        <v>3.1796600000000002</v>
      </c>
      <c r="F161" s="94">
        <v>3.16784</v>
      </c>
      <c r="G161" s="94">
        <v>4.1099999999999999E-3</v>
      </c>
      <c r="H161" s="94">
        <v>7.7099999999999998E-3</v>
      </c>
      <c r="Q161" s="1"/>
      <c r="R161" s="143" t="s">
        <v>1089</v>
      </c>
      <c r="S161" s="110" t="s">
        <v>1193</v>
      </c>
      <c r="T161" s="110" t="s">
        <v>1194</v>
      </c>
      <c r="U161" s="110" t="s">
        <v>1195</v>
      </c>
      <c r="V161" s="111" t="s">
        <v>404</v>
      </c>
      <c r="W161" s="2"/>
      <c r="X161" s="2"/>
      <c r="Y161" s="2"/>
      <c r="Z161" s="2"/>
      <c r="AA161" s="2"/>
      <c r="AB161" s="2"/>
    </row>
    <row r="162" spans="2:51">
      <c r="B162" s="1003"/>
      <c r="C162" s="1012"/>
      <c r="D162" s="196" t="s">
        <v>1137</v>
      </c>
      <c r="E162" s="94">
        <v>0.28492000000000001</v>
      </c>
      <c r="F162" s="94">
        <v>0.28386</v>
      </c>
      <c r="G162" s="94">
        <v>3.6999999999999999E-4</v>
      </c>
      <c r="H162" s="94">
        <v>6.8999999999999997E-4</v>
      </c>
      <c r="Q162" s="1"/>
      <c r="R162" s="162" t="s">
        <v>728</v>
      </c>
      <c r="S162" s="163">
        <v>1.4670000000000001</v>
      </c>
      <c r="T162" s="163">
        <v>1.4E-2</v>
      </c>
      <c r="U162" s="163">
        <v>0.01</v>
      </c>
      <c r="V162" s="164" t="s">
        <v>512</v>
      </c>
      <c r="W162" s="165"/>
      <c r="X162" s="165"/>
      <c r="Y162" s="165"/>
      <c r="Z162" s="2"/>
      <c r="AA162" s="2"/>
      <c r="AB162" s="2"/>
    </row>
    <row r="163" spans="2:51" ht="15.5">
      <c r="B163" s="1003"/>
      <c r="C163" s="1013"/>
      <c r="D163" s="196" t="s">
        <v>1138</v>
      </c>
      <c r="E163" s="94">
        <v>0.26782</v>
      </c>
      <c r="F163" s="94">
        <v>0.26683000000000001</v>
      </c>
      <c r="G163" s="94">
        <v>3.5E-4</v>
      </c>
      <c r="H163" s="94">
        <v>6.4999999999999997E-4</v>
      </c>
      <c r="Q163" s="1"/>
      <c r="R163" s="145" t="s">
        <v>1196</v>
      </c>
      <c r="S163" s="282">
        <v>0.34300000000000003</v>
      </c>
      <c r="T163" s="282">
        <v>1.9E-2</v>
      </c>
      <c r="U163" s="282">
        <v>1.0999999999999999E-2</v>
      </c>
      <c r="V163" s="166" t="s">
        <v>512</v>
      </c>
      <c r="W163" s="165"/>
      <c r="X163" s="165"/>
      <c r="Y163" s="165"/>
      <c r="Z163" s="2"/>
      <c r="AA163" s="2"/>
      <c r="AB163" s="2"/>
    </row>
    <row r="164" spans="2:51" ht="16" thickBot="1">
      <c r="B164" s="1003"/>
      <c r="C164" s="1011" t="s">
        <v>1209</v>
      </c>
      <c r="D164" s="196" t="s">
        <v>1136</v>
      </c>
      <c r="E164" s="76">
        <v>3229.86</v>
      </c>
      <c r="F164" s="76">
        <v>3190</v>
      </c>
      <c r="G164" s="76">
        <v>3.43</v>
      </c>
      <c r="H164" s="76">
        <v>36.43</v>
      </c>
      <c r="Q164" s="1"/>
      <c r="R164" s="148" t="s">
        <v>1197</v>
      </c>
      <c r="S164" s="158">
        <v>0.47199999999999998</v>
      </c>
      <c r="T164" s="158">
        <v>1.9E-2</v>
      </c>
      <c r="U164" s="158">
        <v>1.7999999999999999E-2</v>
      </c>
      <c r="V164" s="167" t="s">
        <v>512</v>
      </c>
      <c r="W164" s="165"/>
      <c r="X164" s="165"/>
      <c r="Y164" s="165"/>
      <c r="Z164" s="2"/>
      <c r="AA164" s="2"/>
      <c r="AB164" s="2"/>
    </row>
    <row r="165" spans="2:51" ht="15.5">
      <c r="B165" s="1003"/>
      <c r="C165" s="1012"/>
      <c r="D165" s="196" t="s">
        <v>554</v>
      </c>
      <c r="E165" s="94">
        <v>2.7582100000000001</v>
      </c>
      <c r="F165" s="94">
        <v>2.72417</v>
      </c>
      <c r="G165" s="94">
        <v>2.9299999999999999E-3</v>
      </c>
      <c r="H165" s="94">
        <v>3.1109999999999999E-2</v>
      </c>
      <c r="Q165" s="1"/>
      <c r="R165" s="162" t="s">
        <v>1210</v>
      </c>
      <c r="S165" s="163">
        <v>0.20233797801439316</v>
      </c>
      <c r="T165" s="168">
        <v>2.0038423175478401E-3</v>
      </c>
      <c r="U165" s="168">
        <v>1.5129681927794096E-3</v>
      </c>
      <c r="V165" s="164" t="s">
        <v>528</v>
      </c>
      <c r="W165" s="165"/>
      <c r="X165" s="165"/>
      <c r="Y165" s="165"/>
      <c r="Z165" s="2"/>
      <c r="AA165" s="2"/>
      <c r="AB165" s="2"/>
    </row>
    <row r="166" spans="2:51">
      <c r="B166" s="1003"/>
      <c r="C166" s="1012"/>
      <c r="D166" s="196" t="s">
        <v>1137</v>
      </c>
      <c r="E166" s="94">
        <v>0.27315</v>
      </c>
      <c r="F166" s="94">
        <v>0.26978000000000002</v>
      </c>
      <c r="G166" s="94">
        <v>2.9E-4</v>
      </c>
      <c r="H166" s="94">
        <v>3.0799999999999998E-3</v>
      </c>
      <c r="Q166" s="1"/>
      <c r="R166" s="15" t="s">
        <v>490</v>
      </c>
      <c r="S166" s="282">
        <v>2.3E-2</v>
      </c>
      <c r="T166" s="274">
        <v>1.8E-3</v>
      </c>
      <c r="U166" s="274">
        <v>5.9999999999999995E-4</v>
      </c>
      <c r="V166" s="169" t="s">
        <v>528</v>
      </c>
      <c r="W166" s="165"/>
      <c r="X166" s="165"/>
      <c r="Y166" s="165"/>
      <c r="Z166" s="2"/>
      <c r="AA166" s="2"/>
      <c r="AB166" s="2"/>
    </row>
    <row r="167" spans="2:51">
      <c r="B167" s="1003"/>
      <c r="C167" s="1013"/>
      <c r="D167" s="196" t="s">
        <v>1138</v>
      </c>
      <c r="E167" s="94">
        <v>0.25675999999999999</v>
      </c>
      <c r="F167" s="94">
        <v>0.25358999999999998</v>
      </c>
      <c r="G167" s="94">
        <v>2.7E-4</v>
      </c>
      <c r="H167" s="94">
        <v>2.8999999999999998E-3</v>
      </c>
      <c r="Q167" s="1"/>
      <c r="R167" s="15" t="s">
        <v>744</v>
      </c>
      <c r="S167" s="266">
        <v>5.8999999999999997E-2</v>
      </c>
      <c r="T167" s="269">
        <v>5.0000000000000001E-4</v>
      </c>
      <c r="U167" s="269">
        <v>4.0000000000000001E-3</v>
      </c>
      <c r="V167" s="169" t="s">
        <v>528</v>
      </c>
      <c r="W167" s="165"/>
      <c r="X167" s="165"/>
      <c r="Y167" s="165"/>
      <c r="Z167" s="2"/>
      <c r="AA167" s="2"/>
      <c r="AB167" s="2"/>
    </row>
    <row r="168" spans="2:51" ht="15" thickBot="1">
      <c r="B168" s="1003"/>
      <c r="C168" s="1011" t="s">
        <v>1211</v>
      </c>
      <c r="D168" s="196" t="s">
        <v>1136</v>
      </c>
      <c r="E168" s="76">
        <v>2944.82</v>
      </c>
      <c r="F168" s="76">
        <v>2933.33</v>
      </c>
      <c r="G168" s="76">
        <v>3.39</v>
      </c>
      <c r="H168" s="76">
        <v>8.09</v>
      </c>
      <c r="Q168" s="1"/>
      <c r="R168" s="148" t="s">
        <v>748</v>
      </c>
      <c r="S168" s="158">
        <v>1.3080000000000001</v>
      </c>
      <c r="T168" s="170">
        <v>0</v>
      </c>
      <c r="U168" s="125">
        <v>4.02E-2</v>
      </c>
      <c r="V168" s="167" t="s">
        <v>528</v>
      </c>
      <c r="W168" s="165"/>
      <c r="X168" s="165"/>
      <c r="Y168" s="165"/>
      <c r="Z168" s="2"/>
      <c r="AA168" s="2"/>
      <c r="AB168" s="2"/>
    </row>
    <row r="169" spans="2:51">
      <c r="B169" s="1003"/>
      <c r="C169" s="1012"/>
      <c r="D169" s="196" t="s">
        <v>554</v>
      </c>
      <c r="E169" s="75"/>
      <c r="F169" s="75"/>
      <c r="G169" s="75"/>
      <c r="H169" s="75"/>
    </row>
    <row r="170" spans="2:51">
      <c r="B170" s="1003"/>
      <c r="C170" s="1012"/>
      <c r="D170" s="196" t="s">
        <v>1137</v>
      </c>
      <c r="E170" s="94">
        <v>0.25966</v>
      </c>
      <c r="F170" s="94">
        <v>0.25863999999999998</v>
      </c>
      <c r="G170" s="94">
        <v>2.9999999999999997E-4</v>
      </c>
      <c r="H170" s="94">
        <v>7.1000000000000002E-4</v>
      </c>
    </row>
    <row r="171" spans="2:51">
      <c r="B171" s="1003"/>
      <c r="C171" s="1013"/>
      <c r="D171" s="196" t="s">
        <v>1138</v>
      </c>
      <c r="E171" s="94">
        <v>0.24667</v>
      </c>
      <c r="F171" s="94">
        <v>0.24571000000000001</v>
      </c>
      <c r="G171" s="94">
        <v>2.7999999999999998E-4</v>
      </c>
      <c r="H171" s="94">
        <v>6.8000000000000005E-4</v>
      </c>
    </row>
    <row r="172" spans="2:51">
      <c r="B172" s="1003"/>
      <c r="C172" s="1011" t="s">
        <v>1212</v>
      </c>
      <c r="D172" s="196" t="s">
        <v>1136</v>
      </c>
      <c r="E172" s="76">
        <v>3225.02</v>
      </c>
      <c r="F172" s="76">
        <v>3171.09</v>
      </c>
      <c r="G172" s="76">
        <v>3.19</v>
      </c>
      <c r="H172" s="76">
        <v>50.74</v>
      </c>
      <c r="Q172" s="173"/>
      <c r="R172" s="173"/>
      <c r="S172" s="173"/>
      <c r="T172" s="173"/>
      <c r="U172" s="173"/>
      <c r="V172" s="173"/>
      <c r="W172" s="173"/>
      <c r="X172" s="173"/>
      <c r="Y172" s="173"/>
      <c r="Z172" s="173"/>
      <c r="AA172" s="173"/>
      <c r="AB172" s="173"/>
      <c r="AC172" s="173"/>
      <c r="AD172" s="173"/>
      <c r="AE172" s="173"/>
      <c r="AF172" s="173"/>
      <c r="AG172" s="173"/>
      <c r="AH172" s="173"/>
      <c r="AI172" s="173"/>
      <c r="AJ172" s="173"/>
      <c r="AK172" s="173"/>
      <c r="AL172" s="173"/>
      <c r="AM172" s="173"/>
      <c r="AN172" s="171"/>
      <c r="AO172" s="171"/>
      <c r="AP172" s="171"/>
      <c r="AQ172" s="171"/>
      <c r="AR172" s="171"/>
      <c r="AS172" s="171"/>
      <c r="AT172" s="171"/>
      <c r="AU172" s="171"/>
      <c r="AV172" s="171"/>
      <c r="AW172" s="171"/>
      <c r="AX172" s="171"/>
      <c r="AY172" s="171"/>
    </row>
    <row r="173" spans="2:51">
      <c r="B173" s="1003"/>
      <c r="C173" s="1012"/>
      <c r="D173" s="196" t="s">
        <v>554</v>
      </c>
      <c r="E173" s="75"/>
      <c r="F173" s="75"/>
      <c r="G173" s="75"/>
      <c r="H173" s="75"/>
      <c r="Q173" s="194"/>
      <c r="R173" s="194"/>
      <c r="S173" s="194"/>
      <c r="T173" s="1021" t="s">
        <v>342</v>
      </c>
      <c r="U173" s="1021"/>
      <c r="V173" s="1021"/>
      <c r="W173" s="1021"/>
      <c r="X173" s="1021" t="s">
        <v>339</v>
      </c>
      <c r="Y173" s="1021"/>
      <c r="Z173" s="1021"/>
      <c r="AA173" s="1021"/>
      <c r="AB173" s="1021" t="s">
        <v>311</v>
      </c>
      <c r="AC173" s="1021"/>
      <c r="AD173" s="1021"/>
      <c r="AE173" s="1021"/>
      <c r="AF173" s="1021" t="s">
        <v>1213</v>
      </c>
      <c r="AG173" s="1021"/>
      <c r="AH173" s="1021"/>
      <c r="AI173" s="1021"/>
      <c r="AJ173" s="1021" t="s">
        <v>1214</v>
      </c>
      <c r="AK173" s="1021"/>
      <c r="AL173" s="1021"/>
      <c r="AM173" s="1021"/>
      <c r="AN173" s="194"/>
      <c r="AO173" s="194"/>
      <c r="AP173" s="194"/>
      <c r="AQ173" s="194"/>
      <c r="AR173" s="194"/>
      <c r="AS173" s="194"/>
      <c r="AT173" s="194"/>
      <c r="AU173" s="194"/>
      <c r="AV173" s="194"/>
      <c r="AW173" s="194"/>
      <c r="AX173" s="194"/>
      <c r="AY173" s="194"/>
    </row>
    <row r="174" spans="2:51" ht="16.5">
      <c r="B174" s="1003"/>
      <c r="C174" s="1012"/>
      <c r="D174" s="196" t="s">
        <v>1137</v>
      </c>
      <c r="E174" s="94">
        <v>0.28555999999999998</v>
      </c>
      <c r="F174" s="94">
        <v>0.28077999999999997</v>
      </c>
      <c r="G174" s="94">
        <v>2.7999999999999998E-4</v>
      </c>
      <c r="H174" s="94">
        <v>4.4900000000000001E-3</v>
      </c>
      <c r="Q174" s="195" t="s">
        <v>1129</v>
      </c>
      <c r="R174" s="195" t="s">
        <v>1215</v>
      </c>
      <c r="S174" s="195" t="s">
        <v>860</v>
      </c>
      <c r="T174" s="196" t="s">
        <v>1131</v>
      </c>
      <c r="U174" s="196" t="s">
        <v>1132</v>
      </c>
      <c r="V174" s="196" t="s">
        <v>1133</v>
      </c>
      <c r="W174" s="196" t="s">
        <v>1134</v>
      </c>
      <c r="X174" s="196" t="s">
        <v>1131</v>
      </c>
      <c r="Y174" s="196" t="s">
        <v>1132</v>
      </c>
      <c r="Z174" s="196" t="s">
        <v>1133</v>
      </c>
      <c r="AA174" s="196" t="s">
        <v>1134</v>
      </c>
      <c r="AB174" s="196" t="s">
        <v>1131</v>
      </c>
      <c r="AC174" s="196" t="s">
        <v>1132</v>
      </c>
      <c r="AD174" s="196" t="s">
        <v>1133</v>
      </c>
      <c r="AE174" s="196" t="s">
        <v>1134</v>
      </c>
      <c r="AF174" s="196" t="s">
        <v>1131</v>
      </c>
      <c r="AG174" s="196" t="s">
        <v>1132</v>
      </c>
      <c r="AH174" s="196" t="s">
        <v>1133</v>
      </c>
      <c r="AI174" s="196" t="s">
        <v>1134</v>
      </c>
      <c r="AJ174" s="196" t="s">
        <v>1131</v>
      </c>
      <c r="AK174" s="196" t="s">
        <v>1132</v>
      </c>
      <c r="AL174" s="196" t="s">
        <v>1133</v>
      </c>
      <c r="AM174" s="196" t="s">
        <v>1134</v>
      </c>
      <c r="AN174" s="194"/>
      <c r="AO174" s="194"/>
      <c r="AP174" s="194"/>
      <c r="AQ174" s="194"/>
      <c r="AR174" s="194"/>
      <c r="AS174" s="194"/>
      <c r="AT174" s="194"/>
      <c r="AU174" s="194"/>
      <c r="AV174" s="194"/>
      <c r="AW174" s="194"/>
      <c r="AX174" s="194"/>
      <c r="AY174" s="194"/>
    </row>
    <row r="175" spans="2:51">
      <c r="B175" s="1003"/>
      <c r="C175" s="1013"/>
      <c r="D175" s="196" t="s">
        <v>1138</v>
      </c>
      <c r="E175" s="94">
        <v>0.26841999999999999</v>
      </c>
      <c r="F175" s="94">
        <v>0.26393</v>
      </c>
      <c r="G175" s="94">
        <v>2.7E-4</v>
      </c>
      <c r="H175" s="94">
        <v>4.2199999999999998E-3</v>
      </c>
      <c r="Q175" s="1018" t="s">
        <v>1216</v>
      </c>
      <c r="R175" s="1018" t="s">
        <v>1217</v>
      </c>
      <c r="S175" s="196" t="s">
        <v>485</v>
      </c>
      <c r="T175" s="197">
        <v>0.11008999999999999</v>
      </c>
      <c r="U175" s="197">
        <v>0.10825</v>
      </c>
      <c r="V175" s="197">
        <v>4.3200000000000001E-6</v>
      </c>
      <c r="W175" s="197">
        <v>1.8400000000000001E-3</v>
      </c>
      <c r="X175" s="197">
        <v>0.13975000000000001</v>
      </c>
      <c r="Y175" s="197">
        <v>0.13905000000000001</v>
      </c>
      <c r="Z175" s="197">
        <v>3.2000000000000003E-4</v>
      </c>
      <c r="AA175" s="197">
        <v>3.8000000000000002E-4</v>
      </c>
      <c r="AB175" s="197">
        <v>0.13958000000000001</v>
      </c>
      <c r="AC175" s="197">
        <v>0.13886999999999999</v>
      </c>
      <c r="AD175" s="197">
        <v>3.2000000000000003E-4</v>
      </c>
      <c r="AE175" s="197">
        <v>3.8999999999999999E-4</v>
      </c>
      <c r="AF175" s="197" t="s">
        <v>1218</v>
      </c>
      <c r="AG175" s="197" t="s">
        <v>1218</v>
      </c>
      <c r="AH175" s="197" t="s">
        <v>1218</v>
      </c>
      <c r="AI175" s="197" t="s">
        <v>1218</v>
      </c>
      <c r="AJ175" s="197">
        <v>0</v>
      </c>
      <c r="AK175" s="197">
        <v>0</v>
      </c>
      <c r="AL175" s="197">
        <v>0</v>
      </c>
      <c r="AM175" s="197">
        <v>0</v>
      </c>
      <c r="AN175" s="178"/>
      <c r="AO175" s="178"/>
      <c r="AP175" s="178"/>
      <c r="AQ175" s="178"/>
      <c r="AR175" s="178"/>
      <c r="AS175" s="178"/>
      <c r="AT175" s="178"/>
      <c r="AU175" s="178"/>
      <c r="AV175" s="178"/>
      <c r="AW175" s="178"/>
      <c r="AX175" s="178"/>
      <c r="AY175" s="178"/>
    </row>
    <row r="176" spans="2:51">
      <c r="B176" s="1003"/>
      <c r="C176" s="1011" t="s">
        <v>1219</v>
      </c>
      <c r="D176" s="196" t="s">
        <v>1136</v>
      </c>
      <c r="E176" s="76">
        <v>3250.08</v>
      </c>
      <c r="F176" s="76">
        <v>3205.99</v>
      </c>
      <c r="G176" s="76">
        <v>0.82</v>
      </c>
      <c r="H176" s="76">
        <v>43.27</v>
      </c>
      <c r="Q176" s="1018"/>
      <c r="R176" s="1018"/>
      <c r="S176" s="196" t="s">
        <v>1220</v>
      </c>
      <c r="T176" s="197">
        <v>0.17719000000000001</v>
      </c>
      <c r="U176" s="197">
        <v>0.17421</v>
      </c>
      <c r="V176" s="197">
        <v>1.0000000000000001E-5</v>
      </c>
      <c r="W176" s="197">
        <v>2.97E-3</v>
      </c>
      <c r="X176" s="197">
        <v>0.22490000000000002</v>
      </c>
      <c r="Y176" s="197">
        <v>0.22378000000000001</v>
      </c>
      <c r="Z176" s="197">
        <v>5.1000000000000004E-4</v>
      </c>
      <c r="AA176" s="197">
        <v>6.0999999999999997E-4</v>
      </c>
      <c r="AB176" s="197">
        <v>0.22463</v>
      </c>
      <c r="AC176" s="197">
        <v>0.22348999999999999</v>
      </c>
      <c r="AD176" s="197">
        <v>5.1000000000000004E-4</v>
      </c>
      <c r="AE176" s="197">
        <v>6.3000000000000003E-4</v>
      </c>
      <c r="AF176" s="197" t="s">
        <v>1218</v>
      </c>
      <c r="AG176" s="197" t="s">
        <v>1218</v>
      </c>
      <c r="AH176" s="197" t="s">
        <v>1218</v>
      </c>
      <c r="AI176" s="197" t="s">
        <v>1218</v>
      </c>
      <c r="AJ176" s="197">
        <v>0</v>
      </c>
      <c r="AK176" s="197">
        <v>0</v>
      </c>
      <c r="AL176" s="197">
        <v>0</v>
      </c>
      <c r="AM176" s="197">
        <v>0</v>
      </c>
      <c r="AN176" s="178"/>
      <c r="AO176" s="178"/>
      <c r="AP176" s="178"/>
      <c r="AQ176" s="178"/>
      <c r="AR176" s="178"/>
      <c r="AS176" s="178"/>
      <c r="AT176" s="178"/>
      <c r="AU176" s="178"/>
      <c r="AV176" s="178"/>
      <c r="AW176" s="178"/>
      <c r="AX176" s="178"/>
      <c r="AY176" s="178"/>
    </row>
    <row r="177" spans="2:51">
      <c r="B177" s="1003"/>
      <c r="C177" s="1012"/>
      <c r="D177" s="196" t="s">
        <v>554</v>
      </c>
      <c r="E177" s="94">
        <v>2.7754699999999999</v>
      </c>
      <c r="F177" s="94">
        <v>2.7378200000000001</v>
      </c>
      <c r="G177" s="94">
        <v>6.9999999999999999E-4</v>
      </c>
      <c r="H177" s="94">
        <v>3.6949999999999997E-2</v>
      </c>
      <c r="Q177" s="1018"/>
      <c r="R177" s="1018" t="s">
        <v>1221</v>
      </c>
      <c r="S177" s="196" t="s">
        <v>485</v>
      </c>
      <c r="T177" s="197">
        <v>0.13449</v>
      </c>
      <c r="U177" s="197">
        <v>0.13264999999999999</v>
      </c>
      <c r="V177" s="197">
        <v>4.3200000000000001E-6</v>
      </c>
      <c r="W177" s="197">
        <v>1.8400000000000001E-3</v>
      </c>
      <c r="X177" s="197">
        <v>0.15537999999999999</v>
      </c>
      <c r="Y177" s="197">
        <v>0.15468000000000001</v>
      </c>
      <c r="Z177" s="197">
        <v>3.2000000000000003E-4</v>
      </c>
      <c r="AA177" s="197">
        <v>3.8000000000000002E-4</v>
      </c>
      <c r="AB177" s="197">
        <v>0.15240999999999999</v>
      </c>
      <c r="AC177" s="197">
        <v>0.15154999999999999</v>
      </c>
      <c r="AD177" s="197">
        <v>2.7E-4</v>
      </c>
      <c r="AE177" s="197">
        <v>5.9000000000000003E-4</v>
      </c>
      <c r="AF177" s="197">
        <v>2.9350000000000001E-2</v>
      </c>
      <c r="AG177" s="197">
        <v>2.9180000000000001E-2</v>
      </c>
      <c r="AH177" s="197">
        <v>9.0000000000000006E-5</v>
      </c>
      <c r="AI177" s="197">
        <v>8.0000000000000007E-5</v>
      </c>
      <c r="AJ177" s="197">
        <v>0</v>
      </c>
      <c r="AK177" s="197">
        <v>0</v>
      </c>
      <c r="AL177" s="197">
        <v>0</v>
      </c>
      <c r="AM177" s="197">
        <v>0</v>
      </c>
      <c r="AN177" s="178"/>
      <c r="AO177" s="178"/>
      <c r="AP177" s="178"/>
      <c r="AQ177" s="178"/>
      <c r="AR177" s="178"/>
      <c r="AS177" s="178"/>
      <c r="AT177" s="178"/>
      <c r="AU177" s="178"/>
      <c r="AV177" s="178"/>
      <c r="AW177" s="178"/>
      <c r="AX177" s="178"/>
      <c r="AY177" s="178"/>
    </row>
    <row r="178" spans="2:51">
      <c r="B178" s="1003"/>
      <c r="C178" s="1012"/>
      <c r="D178" s="196" t="s">
        <v>1137</v>
      </c>
      <c r="E178" s="94">
        <v>0.27485999999999999</v>
      </c>
      <c r="F178" s="94">
        <v>0.27112999999999998</v>
      </c>
      <c r="G178" s="94">
        <v>6.9999999999999994E-5</v>
      </c>
      <c r="H178" s="94">
        <v>3.6600000000000001E-3</v>
      </c>
      <c r="Q178" s="1018"/>
      <c r="R178" s="1018"/>
      <c r="S178" s="196" t="s">
        <v>1220</v>
      </c>
      <c r="T178" s="197">
        <v>0.21647000000000002</v>
      </c>
      <c r="U178" s="197">
        <v>0.21349000000000001</v>
      </c>
      <c r="V178" s="197">
        <v>1.0000000000000001E-5</v>
      </c>
      <c r="W178" s="197">
        <v>2.97E-3</v>
      </c>
      <c r="X178" s="197">
        <v>0.25006</v>
      </c>
      <c r="Y178" s="197">
        <v>0.24893999999999999</v>
      </c>
      <c r="Z178" s="197">
        <v>5.1000000000000004E-4</v>
      </c>
      <c r="AA178" s="197">
        <v>6.0999999999999997E-4</v>
      </c>
      <c r="AB178" s="197">
        <v>0.24528</v>
      </c>
      <c r="AC178" s="197">
        <v>0.24389</v>
      </c>
      <c r="AD178" s="197">
        <v>4.4000000000000002E-4</v>
      </c>
      <c r="AE178" s="197">
        <v>9.5E-4</v>
      </c>
      <c r="AF178" s="197">
        <v>4.7230000000000001E-2</v>
      </c>
      <c r="AG178" s="197">
        <v>4.6960000000000002E-2</v>
      </c>
      <c r="AH178" s="197">
        <v>1.3999999999999999E-4</v>
      </c>
      <c r="AI178" s="197">
        <v>1.2999999999999999E-4</v>
      </c>
      <c r="AJ178" s="197">
        <v>0</v>
      </c>
      <c r="AK178" s="197">
        <v>0</v>
      </c>
      <c r="AL178" s="197">
        <v>0</v>
      </c>
      <c r="AM178" s="197">
        <v>0</v>
      </c>
      <c r="AN178" s="178"/>
      <c r="AO178" s="178"/>
      <c r="AP178" s="178"/>
      <c r="AQ178" s="178"/>
      <c r="AR178" s="178"/>
      <c r="AS178" s="178"/>
      <c r="AT178" s="178"/>
      <c r="AU178" s="178"/>
      <c r="AV178" s="178"/>
      <c r="AW178" s="178"/>
      <c r="AX178" s="178"/>
      <c r="AY178" s="178"/>
    </row>
    <row r="179" spans="2:51">
      <c r="B179" s="1003"/>
      <c r="C179" s="1013"/>
      <c r="D179" s="196" t="s">
        <v>1138</v>
      </c>
      <c r="E179" s="94">
        <v>0.25835999999999998</v>
      </c>
      <c r="F179" s="94">
        <v>0.25485999999999998</v>
      </c>
      <c r="G179" s="94">
        <v>6.9999999999999994E-5</v>
      </c>
      <c r="H179" s="94">
        <v>3.4399999999999999E-3</v>
      </c>
      <c r="Q179" s="1018"/>
      <c r="R179" s="1018" t="s">
        <v>1222</v>
      </c>
      <c r="S179" s="196" t="s">
        <v>485</v>
      </c>
      <c r="T179" s="197">
        <v>0.14691000000000001</v>
      </c>
      <c r="U179" s="197">
        <v>0.14507</v>
      </c>
      <c r="V179" s="197">
        <v>4.3200000000000001E-6</v>
      </c>
      <c r="W179" s="197">
        <v>1.8400000000000001E-3</v>
      </c>
      <c r="X179" s="197">
        <v>0.18007999999999999</v>
      </c>
      <c r="Y179" s="197">
        <v>0.17938000000000001</v>
      </c>
      <c r="Z179" s="197">
        <v>3.2000000000000003E-4</v>
      </c>
      <c r="AA179" s="197">
        <v>3.8000000000000002E-4</v>
      </c>
      <c r="AB179" s="197">
        <v>0.16361999999999999</v>
      </c>
      <c r="AC179" s="197">
        <v>0.16234999999999999</v>
      </c>
      <c r="AD179" s="197">
        <v>1.6000000000000001E-4</v>
      </c>
      <c r="AE179" s="197">
        <v>1.1100000000000001E-3</v>
      </c>
      <c r="AF179" s="197">
        <v>6.4000000000000001E-2</v>
      </c>
      <c r="AG179" s="197">
        <v>6.3619999999999996E-2</v>
      </c>
      <c r="AH179" s="197">
        <v>2.0000000000000001E-4</v>
      </c>
      <c r="AI179" s="197">
        <v>1.8000000000000001E-4</v>
      </c>
      <c r="AJ179" s="197">
        <v>0</v>
      </c>
      <c r="AK179" s="197">
        <v>0</v>
      </c>
      <c r="AL179" s="197">
        <v>0</v>
      </c>
      <c r="AM179" s="197">
        <v>0</v>
      </c>
      <c r="AN179" s="178"/>
      <c r="AO179" s="178"/>
      <c r="AP179" s="178"/>
      <c r="AQ179" s="178"/>
      <c r="AR179" s="178"/>
      <c r="AS179" s="178"/>
      <c r="AT179" s="178"/>
      <c r="AU179" s="178"/>
      <c r="AV179" s="178"/>
      <c r="AW179" s="178"/>
      <c r="AX179" s="178"/>
      <c r="AY179" s="178"/>
    </row>
    <row r="180" spans="2:51">
      <c r="B180" s="1003"/>
      <c r="C180" s="1011" t="s">
        <v>1223</v>
      </c>
      <c r="D180" s="196" t="s">
        <v>1136</v>
      </c>
      <c r="E180" s="76">
        <v>3159.55</v>
      </c>
      <c r="F180" s="76">
        <v>3113.99</v>
      </c>
      <c r="G180" s="76">
        <v>1.28</v>
      </c>
      <c r="H180" s="76">
        <v>44.29</v>
      </c>
      <c r="Q180" s="1018"/>
      <c r="R180" s="1018"/>
      <c r="S180" s="196" t="s">
        <v>1220</v>
      </c>
      <c r="T180" s="197">
        <v>0.23644000000000001</v>
      </c>
      <c r="U180" s="197">
        <v>0.23346</v>
      </c>
      <c r="V180" s="197">
        <v>1.0000000000000001E-5</v>
      </c>
      <c r="W180" s="197">
        <v>2.97E-3</v>
      </c>
      <c r="X180" s="197">
        <v>0.2898</v>
      </c>
      <c r="Y180" s="197">
        <v>0.28867999999999999</v>
      </c>
      <c r="Z180" s="197">
        <v>5.1000000000000004E-4</v>
      </c>
      <c r="AA180" s="197">
        <v>6.0999999999999997E-4</v>
      </c>
      <c r="AB180" s="197">
        <v>0.26332</v>
      </c>
      <c r="AC180" s="197">
        <v>0.26128000000000001</v>
      </c>
      <c r="AD180" s="197">
        <v>2.5999999999999998E-4</v>
      </c>
      <c r="AE180" s="197">
        <v>1.7799999999999999E-3</v>
      </c>
      <c r="AF180" s="197">
        <v>0.10299</v>
      </c>
      <c r="AG180" s="197">
        <v>0.10238</v>
      </c>
      <c r="AH180" s="197">
        <v>3.2000000000000003E-4</v>
      </c>
      <c r="AI180" s="197">
        <v>2.9E-4</v>
      </c>
      <c r="AJ180" s="197">
        <v>0</v>
      </c>
      <c r="AK180" s="197">
        <v>0</v>
      </c>
      <c r="AL180" s="197">
        <v>0</v>
      </c>
      <c r="AM180" s="197">
        <v>0</v>
      </c>
      <c r="AN180" s="178"/>
      <c r="AO180" s="178"/>
      <c r="AP180" s="178"/>
      <c r="AQ180" s="178"/>
      <c r="AR180" s="178"/>
      <c r="AS180" s="178"/>
      <c r="AT180" s="178"/>
      <c r="AU180" s="178"/>
      <c r="AV180" s="178"/>
      <c r="AW180" s="178"/>
      <c r="AX180" s="178"/>
      <c r="AY180" s="178"/>
    </row>
    <row r="181" spans="2:51">
      <c r="B181" s="1003"/>
      <c r="C181" s="1012"/>
      <c r="D181" s="196" t="s">
        <v>554</v>
      </c>
      <c r="E181" s="94">
        <v>3.12209</v>
      </c>
      <c r="F181" s="94">
        <v>3.07707</v>
      </c>
      <c r="G181" s="94">
        <v>1.2600000000000001E-3</v>
      </c>
      <c r="H181" s="94">
        <v>4.376E-2</v>
      </c>
      <c r="Q181" s="1018"/>
      <c r="R181" s="1018" t="s">
        <v>1224</v>
      </c>
      <c r="S181" s="196" t="s">
        <v>485</v>
      </c>
      <c r="T181" s="197">
        <v>0.16533</v>
      </c>
      <c r="U181" s="197">
        <v>0.16349</v>
      </c>
      <c r="V181" s="197">
        <v>4.3200000000000001E-6</v>
      </c>
      <c r="W181" s="197">
        <v>1.8400000000000001E-3</v>
      </c>
      <c r="X181" s="197">
        <v>0.20791999999999999</v>
      </c>
      <c r="Y181" s="197">
        <v>0.20721999999999999</v>
      </c>
      <c r="Z181" s="197">
        <v>3.2000000000000003E-4</v>
      </c>
      <c r="AA181" s="197">
        <v>3.8000000000000002E-4</v>
      </c>
      <c r="AB181" s="197">
        <v>0.17537</v>
      </c>
      <c r="AC181" s="197">
        <v>0.17379</v>
      </c>
      <c r="AD181" s="197">
        <v>8.0000000000000007E-5</v>
      </c>
      <c r="AE181" s="197">
        <v>1.5E-3</v>
      </c>
      <c r="AF181" s="197">
        <v>7.4290000000000009E-2</v>
      </c>
      <c r="AG181" s="197">
        <v>7.3830000000000007E-2</v>
      </c>
      <c r="AH181" s="197">
        <v>2.2000000000000001E-4</v>
      </c>
      <c r="AI181" s="197">
        <v>2.4000000000000001E-4</v>
      </c>
      <c r="AJ181" s="197">
        <v>0</v>
      </c>
      <c r="AK181" s="197">
        <v>0</v>
      </c>
      <c r="AL181" s="197">
        <v>0</v>
      </c>
      <c r="AM181" s="197">
        <v>0</v>
      </c>
      <c r="AN181" s="178"/>
      <c r="AO181" s="178"/>
      <c r="AP181" s="178"/>
      <c r="AQ181" s="178"/>
      <c r="AR181" s="178"/>
      <c r="AS181" s="178"/>
      <c r="AT181" s="178"/>
      <c r="AU181" s="178"/>
      <c r="AV181" s="178"/>
      <c r="AW181" s="178"/>
      <c r="AX181" s="178"/>
      <c r="AY181" s="178"/>
    </row>
    <row r="182" spans="2:51">
      <c r="B182" s="1003"/>
      <c r="C182" s="1012"/>
      <c r="D182" s="196" t="s">
        <v>1137</v>
      </c>
      <c r="E182" s="94">
        <v>0.27976000000000001</v>
      </c>
      <c r="F182" s="94">
        <v>0.27572999999999998</v>
      </c>
      <c r="G182" s="94">
        <v>1.1E-4</v>
      </c>
      <c r="H182" s="94">
        <v>3.9199999999999999E-3</v>
      </c>
      <c r="Q182" s="1018"/>
      <c r="R182" s="1018"/>
      <c r="S182" s="196" t="s">
        <v>1220</v>
      </c>
      <c r="T182" s="197">
        <v>0.2661</v>
      </c>
      <c r="U182" s="197">
        <v>0.26312000000000002</v>
      </c>
      <c r="V182" s="197">
        <v>1.0000000000000001E-5</v>
      </c>
      <c r="W182" s="197">
        <v>2.97E-3</v>
      </c>
      <c r="X182" s="197">
        <v>0.33461000000000002</v>
      </c>
      <c r="Y182" s="197">
        <v>0.33349000000000001</v>
      </c>
      <c r="Z182" s="197">
        <v>5.1000000000000004E-4</v>
      </c>
      <c r="AA182" s="197">
        <v>6.0999999999999997E-4</v>
      </c>
      <c r="AB182" s="197">
        <v>0.28223000000000004</v>
      </c>
      <c r="AC182" s="197">
        <v>0.27968999999999999</v>
      </c>
      <c r="AD182" s="197">
        <v>1.2999999999999999E-4</v>
      </c>
      <c r="AE182" s="197">
        <v>2.4099999999999998E-3</v>
      </c>
      <c r="AF182" s="197">
        <v>0.11955</v>
      </c>
      <c r="AG182" s="197">
        <v>0.11882</v>
      </c>
      <c r="AH182" s="197">
        <v>3.5E-4</v>
      </c>
      <c r="AI182" s="197">
        <v>3.8000000000000002E-4</v>
      </c>
      <c r="AJ182" s="197">
        <v>0</v>
      </c>
      <c r="AK182" s="197">
        <v>0</v>
      </c>
      <c r="AL182" s="197">
        <v>0</v>
      </c>
      <c r="AM182" s="197">
        <v>0</v>
      </c>
      <c r="AN182" s="178"/>
      <c r="AO182" s="178"/>
      <c r="AP182" s="178"/>
      <c r="AQ182" s="178"/>
      <c r="AR182" s="178"/>
      <c r="AS182" s="178"/>
      <c r="AT182" s="178"/>
      <c r="AU182" s="178"/>
      <c r="AV182" s="178"/>
      <c r="AW182" s="178"/>
      <c r="AX182" s="178"/>
      <c r="AY182" s="178"/>
    </row>
    <row r="183" spans="2:51">
      <c r="B183" s="1004"/>
      <c r="C183" s="1013"/>
      <c r="D183" s="196" t="s">
        <v>1138</v>
      </c>
      <c r="E183" s="94">
        <v>0.26297999999999999</v>
      </c>
      <c r="F183" s="94">
        <v>0.25918000000000002</v>
      </c>
      <c r="G183" s="94">
        <v>1.1E-4</v>
      </c>
      <c r="H183" s="94">
        <v>3.6900000000000001E-3</v>
      </c>
      <c r="Q183" s="1018"/>
      <c r="R183" s="1018" t="s">
        <v>1225</v>
      </c>
      <c r="S183" s="196" t="s">
        <v>485</v>
      </c>
      <c r="T183" s="197">
        <v>0.17524999999999999</v>
      </c>
      <c r="U183" s="197">
        <v>0.17341000000000001</v>
      </c>
      <c r="V183" s="197">
        <v>4.3200000000000001E-6</v>
      </c>
      <c r="W183" s="197">
        <v>1.8400000000000001E-3</v>
      </c>
      <c r="X183" s="197">
        <v>0.23658999999999999</v>
      </c>
      <c r="Y183" s="197">
        <v>0.23588999999999999</v>
      </c>
      <c r="Z183" s="197">
        <v>3.2000000000000003E-4</v>
      </c>
      <c r="AA183" s="197">
        <v>3.8000000000000002E-4</v>
      </c>
      <c r="AB183" s="197">
        <v>0.18909000000000001</v>
      </c>
      <c r="AC183" s="197">
        <v>0.1875</v>
      </c>
      <c r="AD183" s="197">
        <v>8.0000000000000007E-5</v>
      </c>
      <c r="AE183" s="197">
        <v>1.5100000000000001E-3</v>
      </c>
      <c r="AF183" s="197">
        <v>7.5459999999999999E-2</v>
      </c>
      <c r="AG183" s="197">
        <v>7.5020000000000003E-2</v>
      </c>
      <c r="AH183" s="197">
        <v>2.3000000000000001E-4</v>
      </c>
      <c r="AI183" s="197">
        <v>2.1000000000000001E-4</v>
      </c>
      <c r="AJ183" s="197" t="s">
        <v>1218</v>
      </c>
      <c r="AK183" s="197" t="s">
        <v>1218</v>
      </c>
      <c r="AL183" s="197" t="s">
        <v>1218</v>
      </c>
      <c r="AM183" s="197" t="s">
        <v>1218</v>
      </c>
      <c r="AN183" s="178"/>
      <c r="AO183" s="178"/>
      <c r="AP183" s="178"/>
      <c r="AQ183" s="178"/>
      <c r="AR183" s="178"/>
      <c r="AS183" s="178"/>
      <c r="AT183" s="178"/>
      <c r="AU183" s="178"/>
      <c r="AV183" s="178"/>
      <c r="AW183" s="178"/>
      <c r="AX183" s="178"/>
      <c r="AY183" s="178"/>
    </row>
    <row r="184" spans="2:51">
      <c r="B184" s="194"/>
      <c r="C184" s="194"/>
      <c r="D184" s="194"/>
      <c r="E184" s="95"/>
      <c r="F184" s="95"/>
      <c r="G184" s="95"/>
      <c r="H184" s="95"/>
      <c r="Q184" s="1018"/>
      <c r="R184" s="1018"/>
      <c r="S184" s="196" t="s">
        <v>1220</v>
      </c>
      <c r="T184" s="197">
        <v>0.28205999999999998</v>
      </c>
      <c r="U184" s="197">
        <v>0.27907999999999999</v>
      </c>
      <c r="V184" s="197">
        <v>1.0000000000000001E-5</v>
      </c>
      <c r="W184" s="197">
        <v>2.97E-3</v>
      </c>
      <c r="X184" s="197">
        <v>0.38075000000000003</v>
      </c>
      <c r="Y184" s="197">
        <v>0.37963000000000002</v>
      </c>
      <c r="Z184" s="197">
        <v>5.1000000000000004E-4</v>
      </c>
      <c r="AA184" s="197">
        <v>6.0999999999999997E-4</v>
      </c>
      <c r="AB184" s="197">
        <v>0.30431999999999998</v>
      </c>
      <c r="AC184" s="197">
        <v>0.30175999999999997</v>
      </c>
      <c r="AD184" s="197">
        <v>1.2E-4</v>
      </c>
      <c r="AE184" s="197">
        <v>2.4399999999999999E-3</v>
      </c>
      <c r="AF184" s="197">
        <v>0.12143999999999999</v>
      </c>
      <c r="AG184" s="197">
        <v>0.12073</v>
      </c>
      <c r="AH184" s="197">
        <v>3.6999999999999999E-4</v>
      </c>
      <c r="AI184" s="197">
        <v>3.4000000000000002E-4</v>
      </c>
      <c r="AJ184" s="197" t="s">
        <v>1218</v>
      </c>
      <c r="AK184" s="197" t="s">
        <v>1218</v>
      </c>
      <c r="AL184" s="197" t="s">
        <v>1218</v>
      </c>
      <c r="AM184" s="197" t="s">
        <v>1218</v>
      </c>
      <c r="AN184" s="178"/>
      <c r="AO184" s="178"/>
      <c r="AP184" s="178"/>
      <c r="AQ184" s="178"/>
      <c r="AR184" s="178"/>
      <c r="AS184" s="178"/>
      <c r="AT184" s="178"/>
      <c r="AU184" s="178"/>
      <c r="AV184" s="178"/>
      <c r="AW184" s="178"/>
      <c r="AX184" s="178"/>
      <c r="AY184" s="178"/>
    </row>
    <row r="185" spans="2:51">
      <c r="B185" s="194"/>
      <c r="C185" s="194"/>
      <c r="D185" s="194"/>
      <c r="E185" s="95"/>
      <c r="F185" s="95"/>
      <c r="G185" s="95"/>
      <c r="H185" s="95"/>
      <c r="Q185" s="1018"/>
      <c r="R185" s="1018" t="s">
        <v>1226</v>
      </c>
      <c r="S185" s="196" t="s">
        <v>485</v>
      </c>
      <c r="T185" s="197">
        <v>0.21285999999999999</v>
      </c>
      <c r="U185" s="197">
        <v>0.21102000000000001</v>
      </c>
      <c r="V185" s="197">
        <v>4.3200000000000001E-6</v>
      </c>
      <c r="W185" s="197">
        <v>1.8400000000000001E-3</v>
      </c>
      <c r="X185" s="197">
        <v>0.33566000000000001</v>
      </c>
      <c r="Y185" s="197">
        <v>0.33495999999999998</v>
      </c>
      <c r="Z185" s="197">
        <v>3.2000000000000003E-4</v>
      </c>
      <c r="AA185" s="197">
        <v>3.8000000000000002E-4</v>
      </c>
      <c r="AB185" s="197">
        <v>0.26918999999999998</v>
      </c>
      <c r="AC185" s="197">
        <v>0.26787</v>
      </c>
      <c r="AD185" s="197">
        <v>1.4999999999999999E-4</v>
      </c>
      <c r="AE185" s="197">
        <v>1.17E-3</v>
      </c>
      <c r="AF185" s="197">
        <v>9.6339999999999995E-2</v>
      </c>
      <c r="AG185" s="197">
        <v>9.5769999999999994E-2</v>
      </c>
      <c r="AH185" s="197">
        <v>2.9999999999999997E-4</v>
      </c>
      <c r="AI185" s="197">
        <v>2.7E-4</v>
      </c>
      <c r="AJ185" s="197">
        <v>0</v>
      </c>
      <c r="AK185" s="197">
        <v>0</v>
      </c>
      <c r="AL185" s="197">
        <v>0</v>
      </c>
      <c r="AM185" s="197">
        <v>0</v>
      </c>
      <c r="AN185" s="178"/>
      <c r="AO185" s="178"/>
      <c r="AP185" s="178"/>
      <c r="AQ185" s="178"/>
      <c r="AR185" s="178"/>
      <c r="AS185" s="178"/>
      <c r="AT185" s="178"/>
      <c r="AU185" s="178"/>
      <c r="AV185" s="178"/>
      <c r="AW185" s="178"/>
      <c r="AX185" s="178"/>
      <c r="AY185" s="178"/>
    </row>
    <row r="186" spans="2:51" ht="16.5">
      <c r="B186" s="195" t="s">
        <v>1129</v>
      </c>
      <c r="C186" s="195" t="s">
        <v>1130</v>
      </c>
      <c r="D186" s="195" t="s">
        <v>860</v>
      </c>
      <c r="E186" s="196" t="s">
        <v>1131</v>
      </c>
      <c r="F186" s="196" t="s">
        <v>1132</v>
      </c>
      <c r="G186" s="98" t="s">
        <v>1133</v>
      </c>
      <c r="H186" s="98" t="s">
        <v>1134</v>
      </c>
      <c r="Q186" s="1018"/>
      <c r="R186" s="1018"/>
      <c r="S186" s="196" t="s">
        <v>1220</v>
      </c>
      <c r="T186" s="197">
        <v>0.34258</v>
      </c>
      <c r="U186" s="197">
        <v>0.33960000000000001</v>
      </c>
      <c r="V186" s="197">
        <v>1.0000000000000001E-5</v>
      </c>
      <c r="W186" s="197">
        <v>2.97E-3</v>
      </c>
      <c r="X186" s="197">
        <v>0.54019000000000006</v>
      </c>
      <c r="Y186" s="197">
        <v>0.53907000000000005</v>
      </c>
      <c r="Z186" s="197">
        <v>5.1000000000000004E-4</v>
      </c>
      <c r="AA186" s="197">
        <v>6.0999999999999997E-4</v>
      </c>
      <c r="AB186" s="197">
        <v>0.43321999999999999</v>
      </c>
      <c r="AC186" s="197">
        <v>0.43108999999999997</v>
      </c>
      <c r="AD186" s="197">
        <v>2.4000000000000001E-4</v>
      </c>
      <c r="AE186" s="197">
        <v>1.89E-3</v>
      </c>
      <c r="AF186" s="197">
        <v>0.15503999999999998</v>
      </c>
      <c r="AG186" s="197">
        <v>0.15412999999999999</v>
      </c>
      <c r="AH186" s="197">
        <v>4.6999999999999999E-4</v>
      </c>
      <c r="AI186" s="197">
        <v>4.4000000000000002E-4</v>
      </c>
      <c r="AJ186" s="197">
        <v>0</v>
      </c>
      <c r="AK186" s="197">
        <v>0</v>
      </c>
      <c r="AL186" s="197">
        <v>0</v>
      </c>
      <c r="AM186" s="197">
        <v>0</v>
      </c>
      <c r="AN186" s="178"/>
      <c r="AO186" s="178"/>
      <c r="AP186" s="178"/>
      <c r="AQ186" s="178"/>
      <c r="AR186" s="178"/>
      <c r="AS186" s="178"/>
      <c r="AT186" s="178"/>
      <c r="AU186" s="178"/>
      <c r="AV186" s="178"/>
      <c r="AW186" s="178"/>
      <c r="AX186" s="178"/>
      <c r="AY186" s="178"/>
    </row>
    <row r="187" spans="2:51">
      <c r="B187" s="1002" t="s">
        <v>1227</v>
      </c>
      <c r="C187" s="1014" t="s">
        <v>1228</v>
      </c>
      <c r="D187" s="196" t="s">
        <v>1136</v>
      </c>
      <c r="E187" s="76">
        <v>2464.9499999999998</v>
      </c>
      <c r="F187" s="76">
        <v>2439.0700000000002</v>
      </c>
      <c r="G187" s="76">
        <v>6.89</v>
      </c>
      <c r="H187" s="76">
        <v>18.989999999999998</v>
      </c>
      <c r="Q187" s="1018"/>
      <c r="R187" s="1018" t="s">
        <v>1229</v>
      </c>
      <c r="S187" s="196" t="s">
        <v>485</v>
      </c>
      <c r="T187" s="197">
        <v>0.17332</v>
      </c>
      <c r="U187" s="197">
        <v>0.17147999999999999</v>
      </c>
      <c r="V187" s="197">
        <v>4.3200000000000001E-6</v>
      </c>
      <c r="W187" s="197">
        <v>1.8400000000000001E-3</v>
      </c>
      <c r="X187" s="197">
        <v>0.246</v>
      </c>
      <c r="Y187" s="197">
        <v>0.24529999999999999</v>
      </c>
      <c r="Z187" s="197">
        <v>3.2000000000000003E-4</v>
      </c>
      <c r="AA187" s="197">
        <v>3.8000000000000002E-4</v>
      </c>
      <c r="AB187" s="197">
        <v>0.23441000000000001</v>
      </c>
      <c r="AC187" s="197">
        <v>0.23352999999999999</v>
      </c>
      <c r="AD187" s="197">
        <v>2.7E-4</v>
      </c>
      <c r="AE187" s="197">
        <v>6.0999999999999997E-4</v>
      </c>
      <c r="AF187" s="197">
        <v>7.9810000000000006E-2</v>
      </c>
      <c r="AG187" s="197">
        <v>7.9350000000000004E-2</v>
      </c>
      <c r="AH187" s="197">
        <v>2.4000000000000001E-4</v>
      </c>
      <c r="AI187" s="197">
        <v>2.2000000000000001E-4</v>
      </c>
      <c r="AJ187" s="197">
        <v>0</v>
      </c>
      <c r="AK187" s="197">
        <v>0</v>
      </c>
      <c r="AL187" s="197">
        <v>0</v>
      </c>
      <c r="AM187" s="197">
        <v>0</v>
      </c>
      <c r="AN187" s="178"/>
      <c r="AO187" s="178"/>
      <c r="AP187" s="178"/>
      <c r="AQ187" s="178"/>
      <c r="AR187" s="178"/>
      <c r="AS187" s="178"/>
      <c r="AT187" s="178"/>
      <c r="AU187" s="178"/>
      <c r="AV187" s="178"/>
      <c r="AW187" s="178"/>
      <c r="AX187" s="178"/>
      <c r="AY187" s="178"/>
    </row>
    <row r="188" spans="2:51">
      <c r="B188" s="1003"/>
      <c r="C188" s="1015"/>
      <c r="D188" s="196" t="s">
        <v>1137</v>
      </c>
      <c r="E188" s="94">
        <v>0.3493</v>
      </c>
      <c r="F188" s="94">
        <v>0.34562999999999999</v>
      </c>
      <c r="G188" s="94">
        <v>9.7999999999999997E-4</v>
      </c>
      <c r="H188" s="94">
        <v>2.6900000000000001E-3</v>
      </c>
      <c r="Q188" s="1018"/>
      <c r="R188" s="1018"/>
      <c r="S188" s="196" t="s">
        <v>1220</v>
      </c>
      <c r="T188" s="197">
        <v>0.27894999999999998</v>
      </c>
      <c r="U188" s="197">
        <v>0.27596999999999999</v>
      </c>
      <c r="V188" s="197">
        <v>1.0000000000000001E-5</v>
      </c>
      <c r="W188" s="197">
        <v>2.97E-3</v>
      </c>
      <c r="X188" s="197">
        <v>0.39590000000000003</v>
      </c>
      <c r="Y188" s="197">
        <v>0.39478000000000002</v>
      </c>
      <c r="Z188" s="197">
        <v>5.1000000000000004E-4</v>
      </c>
      <c r="AA188" s="197">
        <v>6.0999999999999997E-4</v>
      </c>
      <c r="AB188" s="197">
        <v>0.37723999999999996</v>
      </c>
      <c r="AC188" s="197">
        <v>0.37581999999999999</v>
      </c>
      <c r="AD188" s="197">
        <v>4.2999999999999999E-4</v>
      </c>
      <c r="AE188" s="197">
        <v>9.8999999999999999E-4</v>
      </c>
      <c r="AF188" s="197">
        <v>0.12845000000000001</v>
      </c>
      <c r="AG188" s="197">
        <v>0.12770000000000001</v>
      </c>
      <c r="AH188" s="197">
        <v>3.8999999999999999E-4</v>
      </c>
      <c r="AI188" s="197">
        <v>3.6000000000000002E-4</v>
      </c>
      <c r="AJ188" s="197">
        <v>0</v>
      </c>
      <c r="AK188" s="197">
        <v>0</v>
      </c>
      <c r="AL188" s="197">
        <v>0</v>
      </c>
      <c r="AM188" s="197">
        <v>0</v>
      </c>
      <c r="AN188" s="178"/>
      <c r="AO188" s="178"/>
      <c r="AP188" s="178"/>
      <c r="AQ188" s="178"/>
      <c r="AR188" s="178"/>
      <c r="AS188" s="178"/>
      <c r="AT188" s="178"/>
      <c r="AU188" s="178"/>
      <c r="AV188" s="178"/>
      <c r="AW188" s="178"/>
      <c r="AX188" s="178"/>
      <c r="AY188" s="178"/>
    </row>
    <row r="189" spans="2:51">
      <c r="B189" s="1003"/>
      <c r="C189" s="1016"/>
      <c r="D189" s="196" t="s">
        <v>1138</v>
      </c>
      <c r="E189" s="94">
        <v>0.33183000000000001</v>
      </c>
      <c r="F189" s="94">
        <v>0.32834999999999998</v>
      </c>
      <c r="G189" s="94">
        <v>9.3000000000000005E-4</v>
      </c>
      <c r="H189" s="94">
        <v>2.5600000000000002E-3</v>
      </c>
      <c r="Q189" s="1018"/>
      <c r="R189" s="1018" t="s">
        <v>1230</v>
      </c>
      <c r="S189" s="196" t="s">
        <v>485</v>
      </c>
      <c r="T189" s="197">
        <v>0.20257</v>
      </c>
      <c r="U189" s="197">
        <v>0.20072999999999999</v>
      </c>
      <c r="V189" s="197">
        <v>4.3200000000000001E-6</v>
      </c>
      <c r="W189" s="197">
        <v>1.8400000000000001E-3</v>
      </c>
      <c r="X189" s="197">
        <v>0.23663000000000001</v>
      </c>
      <c r="Y189" s="197">
        <v>0.23593</v>
      </c>
      <c r="Z189" s="197">
        <v>3.2000000000000003E-4</v>
      </c>
      <c r="AA189" s="197">
        <v>3.8000000000000002E-4</v>
      </c>
      <c r="AB189" s="197">
        <v>0.20924999999999999</v>
      </c>
      <c r="AC189" s="197">
        <v>0.20762</v>
      </c>
      <c r="AD189" s="197">
        <v>6.9999999999999994E-5</v>
      </c>
      <c r="AE189" s="197">
        <v>1.56E-3</v>
      </c>
      <c r="AF189" s="197">
        <v>7.6259999999999994E-2</v>
      </c>
      <c r="AG189" s="197">
        <v>7.5810000000000002E-2</v>
      </c>
      <c r="AH189" s="197">
        <v>2.3000000000000001E-4</v>
      </c>
      <c r="AI189" s="197">
        <v>2.2000000000000001E-4</v>
      </c>
      <c r="AJ189" s="197">
        <v>0</v>
      </c>
      <c r="AK189" s="197">
        <v>0</v>
      </c>
      <c r="AL189" s="197">
        <v>0</v>
      </c>
      <c r="AM189" s="197">
        <v>0</v>
      </c>
      <c r="AN189" s="178"/>
      <c r="AO189" s="178"/>
      <c r="AP189" s="178"/>
      <c r="AQ189" s="178"/>
      <c r="AR189" s="178"/>
      <c r="AS189" s="178"/>
      <c r="AT189" s="178"/>
      <c r="AU189" s="178"/>
      <c r="AV189" s="178"/>
      <c r="AW189" s="178"/>
      <c r="AX189" s="178"/>
      <c r="AY189" s="178"/>
    </row>
    <row r="190" spans="2:51">
      <c r="B190" s="1003"/>
      <c r="C190" s="1014" t="s">
        <v>1231</v>
      </c>
      <c r="D190" s="196" t="s">
        <v>1136</v>
      </c>
      <c r="E190" s="76">
        <v>2264.9299999999998</v>
      </c>
      <c r="F190" s="76">
        <v>2251</v>
      </c>
      <c r="G190" s="76">
        <v>0.63</v>
      </c>
      <c r="H190" s="76">
        <v>13.29</v>
      </c>
      <c r="Q190" s="1018"/>
      <c r="R190" s="1018"/>
      <c r="S190" s="196" t="s">
        <v>1220</v>
      </c>
      <c r="T190" s="197">
        <v>0.32601999999999998</v>
      </c>
      <c r="U190" s="197">
        <v>0.32303999999999999</v>
      </c>
      <c r="V190" s="197">
        <v>1.0000000000000001E-5</v>
      </c>
      <c r="W190" s="197">
        <v>2.97E-3</v>
      </c>
      <c r="X190" s="197">
        <v>0.38081000000000004</v>
      </c>
      <c r="Y190" s="197">
        <v>0.37969000000000003</v>
      </c>
      <c r="Z190" s="197">
        <v>5.1000000000000004E-4</v>
      </c>
      <c r="AA190" s="197">
        <v>6.0999999999999997E-4</v>
      </c>
      <c r="AB190" s="197">
        <v>0.33674999999999999</v>
      </c>
      <c r="AC190" s="197">
        <v>0.33412999999999998</v>
      </c>
      <c r="AD190" s="197">
        <v>1.1E-4</v>
      </c>
      <c r="AE190" s="197">
        <v>2.5100000000000001E-3</v>
      </c>
      <c r="AF190" s="197">
        <v>0.12272999999999999</v>
      </c>
      <c r="AG190" s="197">
        <v>0.122</v>
      </c>
      <c r="AH190" s="197">
        <v>3.6999999999999999E-4</v>
      </c>
      <c r="AI190" s="197">
        <v>3.6000000000000002E-4</v>
      </c>
      <c r="AJ190" s="197">
        <v>0</v>
      </c>
      <c r="AK190" s="197">
        <v>0</v>
      </c>
      <c r="AL190" s="197">
        <v>0</v>
      </c>
      <c r="AM190" s="197">
        <v>0</v>
      </c>
      <c r="AN190" s="178"/>
      <c r="AO190" s="178"/>
      <c r="AP190" s="178"/>
      <c r="AQ190" s="178"/>
      <c r="AR190" s="178"/>
      <c r="AS190" s="178"/>
      <c r="AT190" s="178"/>
      <c r="AU190" s="178"/>
      <c r="AV190" s="178"/>
      <c r="AW190" s="178"/>
      <c r="AX190" s="178"/>
      <c r="AY190" s="178"/>
    </row>
    <row r="191" spans="2:51">
      <c r="B191" s="1003"/>
      <c r="C191" s="1015"/>
      <c r="D191" s="196" t="s">
        <v>1137</v>
      </c>
      <c r="E191" s="94">
        <v>0.32169999999999999</v>
      </c>
      <c r="F191" s="94">
        <v>0.31972</v>
      </c>
      <c r="G191" s="94">
        <v>9.0000000000000006E-5</v>
      </c>
      <c r="H191" s="94">
        <v>1.89E-3</v>
      </c>
      <c r="Q191" s="1018"/>
      <c r="R191" s="1018" t="s">
        <v>1232</v>
      </c>
      <c r="S191" s="196" t="s">
        <v>485</v>
      </c>
      <c r="T191" s="197">
        <v>0.18101</v>
      </c>
      <c r="U191" s="197">
        <v>0.17917</v>
      </c>
      <c r="V191" s="197">
        <v>4.3200000000000001E-6</v>
      </c>
      <c r="W191" s="197">
        <v>1.8400000000000001E-3</v>
      </c>
      <c r="X191" s="197">
        <v>0.19939999999999999</v>
      </c>
      <c r="Y191" s="197">
        <v>0.19869999999999999</v>
      </c>
      <c r="Z191" s="197">
        <v>3.2000000000000003E-4</v>
      </c>
      <c r="AA191" s="197">
        <v>3.8000000000000002E-4</v>
      </c>
      <c r="AB191" s="197">
        <v>0.18609999999999999</v>
      </c>
      <c r="AC191" s="197">
        <v>0.18457000000000001</v>
      </c>
      <c r="AD191" s="197">
        <v>9.0000000000000006E-5</v>
      </c>
      <c r="AE191" s="197">
        <v>1.4400000000000001E-3</v>
      </c>
      <c r="AF191" s="197" t="s">
        <v>1218</v>
      </c>
      <c r="AG191" s="197" t="s">
        <v>1218</v>
      </c>
      <c r="AH191" s="197" t="s">
        <v>1218</v>
      </c>
      <c r="AI191" s="197" t="s">
        <v>1218</v>
      </c>
      <c r="AJ191" s="197">
        <v>0</v>
      </c>
      <c r="AK191" s="197">
        <v>0</v>
      </c>
      <c r="AL191" s="197">
        <v>0</v>
      </c>
      <c r="AM191" s="197">
        <v>0</v>
      </c>
      <c r="AN191" s="178"/>
      <c r="AO191" s="178"/>
      <c r="AP191" s="178"/>
      <c r="AQ191" s="178"/>
      <c r="AR191" s="178"/>
      <c r="AS191" s="178"/>
      <c r="AT191" s="178"/>
      <c r="AU191" s="178"/>
      <c r="AV191" s="178"/>
      <c r="AW191" s="178"/>
      <c r="AX191" s="178"/>
      <c r="AY191" s="178"/>
    </row>
    <row r="192" spans="2:51">
      <c r="B192" s="1003"/>
      <c r="C192" s="1016"/>
      <c r="D192" s="196" t="s">
        <v>1138</v>
      </c>
      <c r="E192" s="94">
        <v>0.30560999999999999</v>
      </c>
      <c r="F192" s="94">
        <v>0.30373</v>
      </c>
      <c r="G192" s="94">
        <v>9.0000000000000006E-5</v>
      </c>
      <c r="H192" s="94">
        <v>1.7899999999999999E-3</v>
      </c>
      <c r="Q192" s="1018"/>
      <c r="R192" s="1018"/>
      <c r="S192" s="196" t="s">
        <v>1220</v>
      </c>
      <c r="T192" s="197">
        <v>0.29132999999999998</v>
      </c>
      <c r="U192" s="197">
        <v>0.28835</v>
      </c>
      <c r="V192" s="197">
        <v>1.0000000000000001E-5</v>
      </c>
      <c r="W192" s="197">
        <v>2.97E-3</v>
      </c>
      <c r="X192" s="197">
        <v>0.32089000000000001</v>
      </c>
      <c r="Y192" s="197">
        <v>0.31977</v>
      </c>
      <c r="Z192" s="197">
        <v>5.1000000000000004E-4</v>
      </c>
      <c r="AA192" s="197">
        <v>6.0999999999999997E-4</v>
      </c>
      <c r="AB192" s="197">
        <v>0.29951</v>
      </c>
      <c r="AC192" s="197">
        <v>0.29704000000000003</v>
      </c>
      <c r="AD192" s="197">
        <v>1.4999999999999999E-4</v>
      </c>
      <c r="AE192" s="197">
        <v>2.32E-3</v>
      </c>
      <c r="AF192" s="197" t="s">
        <v>1218</v>
      </c>
      <c r="AG192" s="197" t="s">
        <v>1218</v>
      </c>
      <c r="AH192" s="197" t="s">
        <v>1218</v>
      </c>
      <c r="AI192" s="197" t="s">
        <v>1218</v>
      </c>
      <c r="AJ192" s="197">
        <v>0</v>
      </c>
      <c r="AK192" s="197">
        <v>0</v>
      </c>
      <c r="AL192" s="197">
        <v>0</v>
      </c>
      <c r="AM192" s="197">
        <v>0</v>
      </c>
      <c r="AN192" s="194"/>
      <c r="AO192" s="194"/>
      <c r="AP192" s="194"/>
      <c r="AQ192" s="194"/>
      <c r="AR192" s="194"/>
      <c r="AS192" s="194"/>
      <c r="AT192" s="194"/>
      <c r="AU192" s="194"/>
      <c r="AV192" s="194"/>
      <c r="AW192" s="194"/>
      <c r="AX192" s="194"/>
      <c r="AY192" s="194"/>
    </row>
    <row r="193" spans="2:51">
      <c r="B193" s="1003"/>
      <c r="C193" s="1014" t="s">
        <v>1233</v>
      </c>
      <c r="D193" s="196" t="s">
        <v>1136</v>
      </c>
      <c r="E193" s="76">
        <v>2744.72</v>
      </c>
      <c r="F193" s="76">
        <v>2505.61</v>
      </c>
      <c r="G193" s="76">
        <v>204.22</v>
      </c>
      <c r="H193" s="76">
        <v>34.89</v>
      </c>
      <c r="Q193" s="194"/>
      <c r="R193" s="194"/>
      <c r="S193" s="194"/>
      <c r="T193" s="194"/>
      <c r="U193" s="194"/>
      <c r="V193" s="194"/>
      <c r="W193" s="194"/>
      <c r="X193" s="194"/>
      <c r="Y193" s="194"/>
      <c r="Z193" s="194"/>
      <c r="AA193" s="194"/>
      <c r="AB193" s="194"/>
      <c r="AC193" s="194"/>
      <c r="AD193" s="194"/>
      <c r="AE193" s="194"/>
      <c r="AF193" s="174"/>
      <c r="AG193" s="174"/>
      <c r="AH193" s="174"/>
      <c r="AI193" s="174"/>
      <c r="AJ193" s="194"/>
      <c r="AK193" s="194"/>
      <c r="AL193" s="194"/>
      <c r="AM193" s="194"/>
      <c r="AN193" s="194"/>
      <c r="AO193" s="194"/>
      <c r="AP193" s="194"/>
      <c r="AQ193" s="194"/>
      <c r="AR193" s="194"/>
      <c r="AS193" s="194"/>
      <c r="AT193" s="194"/>
      <c r="AU193" s="194"/>
      <c r="AV193" s="194"/>
      <c r="AW193" s="194"/>
      <c r="AX193" s="194"/>
      <c r="AY193" s="194"/>
    </row>
    <row r="194" spans="2:51">
      <c r="B194" s="1003"/>
      <c r="C194" s="1015"/>
      <c r="D194" s="196" t="s">
        <v>1137</v>
      </c>
      <c r="E194" s="94">
        <v>0.36287999999999998</v>
      </c>
      <c r="F194" s="94">
        <v>0.33127000000000001</v>
      </c>
      <c r="G194" s="94">
        <v>2.7E-2</v>
      </c>
      <c r="H194" s="94">
        <v>4.6100000000000004E-3</v>
      </c>
      <c r="Q194" s="194"/>
      <c r="R194" s="194"/>
      <c r="S194" s="194"/>
      <c r="T194" s="194"/>
      <c r="U194" s="194"/>
      <c r="V194" s="194"/>
      <c r="W194" s="194"/>
      <c r="X194" s="194"/>
      <c r="Y194" s="194"/>
      <c r="Z194" s="194"/>
      <c r="AA194" s="194"/>
      <c r="AB194" s="194"/>
      <c r="AC194" s="194"/>
      <c r="AD194" s="194"/>
      <c r="AE194" s="194"/>
      <c r="AF194" s="194"/>
      <c r="AG194" s="194"/>
      <c r="AH194" s="194"/>
      <c r="AI194" s="194"/>
      <c r="AJ194" s="194"/>
      <c r="AK194" s="194"/>
      <c r="AL194" s="194"/>
      <c r="AM194" s="194"/>
      <c r="AN194" s="194"/>
      <c r="AO194" s="194"/>
      <c r="AP194" s="194"/>
      <c r="AQ194" s="194"/>
      <c r="AR194" s="194"/>
      <c r="AS194" s="194"/>
      <c r="AT194" s="194"/>
      <c r="AU194" s="194"/>
      <c r="AV194" s="194"/>
      <c r="AW194" s="194"/>
      <c r="AX194" s="194"/>
      <c r="AY194" s="194"/>
    </row>
    <row r="195" spans="2:51">
      <c r="B195" s="1003"/>
      <c r="C195" s="1016"/>
      <c r="D195" s="196" t="s">
        <v>1138</v>
      </c>
      <c r="E195" s="94">
        <v>0.34472999999999998</v>
      </c>
      <c r="F195" s="94">
        <v>0.31469999999999998</v>
      </c>
      <c r="G195" s="94">
        <v>2.5649999999999999E-2</v>
      </c>
      <c r="H195" s="94">
        <v>4.3800000000000002E-3</v>
      </c>
      <c r="Q195" s="194"/>
      <c r="R195" s="194"/>
      <c r="S195" s="194"/>
      <c r="T195" s="1021" t="s">
        <v>342</v>
      </c>
      <c r="U195" s="1021"/>
      <c r="V195" s="1021"/>
      <c r="W195" s="1021"/>
      <c r="X195" s="1021" t="s">
        <v>339</v>
      </c>
      <c r="Y195" s="1021"/>
      <c r="Z195" s="1021"/>
      <c r="AA195" s="1021"/>
      <c r="AB195" s="1021" t="s">
        <v>1234</v>
      </c>
      <c r="AC195" s="1021"/>
      <c r="AD195" s="1021"/>
      <c r="AE195" s="1021"/>
      <c r="AF195" s="1030" t="s">
        <v>343</v>
      </c>
      <c r="AG195" s="1030"/>
      <c r="AH195" s="1030"/>
      <c r="AI195" s="1030"/>
      <c r="AJ195" s="1021" t="s">
        <v>1143</v>
      </c>
      <c r="AK195" s="1021"/>
      <c r="AL195" s="1021"/>
      <c r="AM195" s="1021"/>
      <c r="AN195" s="1021" t="s">
        <v>311</v>
      </c>
      <c r="AO195" s="1021"/>
      <c r="AP195" s="1021"/>
      <c r="AQ195" s="1021"/>
      <c r="AR195" s="1021" t="s">
        <v>1213</v>
      </c>
      <c r="AS195" s="1021"/>
      <c r="AT195" s="1021"/>
      <c r="AU195" s="1021"/>
      <c r="AV195" s="1021" t="s">
        <v>1214</v>
      </c>
      <c r="AW195" s="1021"/>
      <c r="AX195" s="1021"/>
      <c r="AY195" s="1021"/>
    </row>
    <row r="196" spans="2:51" ht="16.5">
      <c r="B196" s="1003"/>
      <c r="C196" s="1014" t="s">
        <v>1235</v>
      </c>
      <c r="D196" s="196" t="s">
        <v>1136</v>
      </c>
      <c r="E196" s="76">
        <v>3094.6</v>
      </c>
      <c r="F196" s="76">
        <v>3073.83</v>
      </c>
      <c r="G196" s="76">
        <v>7.45</v>
      </c>
      <c r="H196" s="76">
        <v>13.32</v>
      </c>
      <c r="Q196" s="195" t="s">
        <v>1129</v>
      </c>
      <c r="R196" s="195" t="s">
        <v>1215</v>
      </c>
      <c r="S196" s="195" t="s">
        <v>860</v>
      </c>
      <c r="T196" s="196" t="s">
        <v>1131</v>
      </c>
      <c r="U196" s="196" t="s">
        <v>1132</v>
      </c>
      <c r="V196" s="196" t="s">
        <v>1133</v>
      </c>
      <c r="W196" s="196" t="s">
        <v>1134</v>
      </c>
      <c r="X196" s="196" t="s">
        <v>1131</v>
      </c>
      <c r="Y196" s="196" t="s">
        <v>1132</v>
      </c>
      <c r="Z196" s="196" t="s">
        <v>1133</v>
      </c>
      <c r="AA196" s="196" t="s">
        <v>1134</v>
      </c>
      <c r="AB196" s="196" t="s">
        <v>1131</v>
      </c>
      <c r="AC196" s="196" t="s">
        <v>1132</v>
      </c>
      <c r="AD196" s="196" t="s">
        <v>1133</v>
      </c>
      <c r="AE196" s="196" t="s">
        <v>1134</v>
      </c>
      <c r="AF196" s="175" t="s">
        <v>1131</v>
      </c>
      <c r="AG196" s="175" t="s">
        <v>1132</v>
      </c>
      <c r="AH196" s="175" t="s">
        <v>1133</v>
      </c>
      <c r="AI196" s="175" t="s">
        <v>1134</v>
      </c>
      <c r="AJ196" s="196" t="s">
        <v>1131</v>
      </c>
      <c r="AK196" s="196" t="s">
        <v>1132</v>
      </c>
      <c r="AL196" s="196" t="s">
        <v>1133</v>
      </c>
      <c r="AM196" s="196" t="s">
        <v>1134</v>
      </c>
      <c r="AN196" s="196" t="s">
        <v>1131</v>
      </c>
      <c r="AO196" s="196" t="s">
        <v>1132</v>
      </c>
      <c r="AP196" s="196" t="s">
        <v>1133</v>
      </c>
      <c r="AQ196" s="196" t="s">
        <v>1134</v>
      </c>
      <c r="AR196" s="196" t="s">
        <v>1131</v>
      </c>
      <c r="AS196" s="196" t="s">
        <v>1132</v>
      </c>
      <c r="AT196" s="196" t="s">
        <v>1133</v>
      </c>
      <c r="AU196" s="196" t="s">
        <v>1134</v>
      </c>
      <c r="AV196" s="196" t="s">
        <v>1131</v>
      </c>
      <c r="AW196" s="196" t="s">
        <v>1132</v>
      </c>
      <c r="AX196" s="196" t="s">
        <v>1133</v>
      </c>
      <c r="AY196" s="196" t="s">
        <v>1134</v>
      </c>
    </row>
    <row r="197" spans="2:51">
      <c r="B197" s="1003"/>
      <c r="C197" s="1015"/>
      <c r="D197" s="196" t="s">
        <v>1137</v>
      </c>
      <c r="E197" s="94">
        <v>0.36841000000000002</v>
      </c>
      <c r="F197" s="94">
        <v>0.36592999999999998</v>
      </c>
      <c r="G197" s="94">
        <v>8.8999999999999995E-4</v>
      </c>
      <c r="H197" s="94">
        <v>1.5900000000000001E-3</v>
      </c>
      <c r="Q197" s="1018" t="s">
        <v>1236</v>
      </c>
      <c r="R197" s="1018" t="s">
        <v>1237</v>
      </c>
      <c r="S197" s="196" t="s">
        <v>485</v>
      </c>
      <c r="T197" s="197">
        <v>0.14208000000000001</v>
      </c>
      <c r="U197" s="197">
        <v>0.14024</v>
      </c>
      <c r="V197" s="197">
        <v>4.3200000000000001E-6</v>
      </c>
      <c r="W197" s="197">
        <v>1.8400000000000001E-3</v>
      </c>
      <c r="X197" s="197">
        <v>0.15371000000000001</v>
      </c>
      <c r="Y197" s="197">
        <v>0.15301000000000001</v>
      </c>
      <c r="Z197" s="197">
        <v>3.2000000000000003E-4</v>
      </c>
      <c r="AA197" s="197">
        <v>3.8000000000000002E-4</v>
      </c>
      <c r="AB197" s="197">
        <v>0.1052</v>
      </c>
      <c r="AC197" s="197">
        <v>0.10409</v>
      </c>
      <c r="AD197" s="197">
        <v>2.1000000000000001E-4</v>
      </c>
      <c r="AE197" s="197">
        <v>8.9999999999999998E-4</v>
      </c>
      <c r="AF197" s="172"/>
      <c r="AG197" s="172"/>
      <c r="AH197" s="172"/>
      <c r="AI197" s="172"/>
      <c r="AJ197" s="176"/>
      <c r="AK197" s="176"/>
      <c r="AL197" s="176"/>
      <c r="AM197" s="176"/>
      <c r="AN197" s="206">
        <v>0.14957999999999999</v>
      </c>
      <c r="AO197" s="206">
        <v>0.14846999999999999</v>
      </c>
      <c r="AP197" s="206">
        <v>2.1000000000000001E-4</v>
      </c>
      <c r="AQ197" s="206">
        <v>8.9999999999999998E-4</v>
      </c>
      <c r="AR197" s="206">
        <v>2.9350000000000001E-2</v>
      </c>
      <c r="AS197" s="206">
        <v>2.9180000000000001E-2</v>
      </c>
      <c r="AT197" s="206">
        <v>9.0000000000000006E-5</v>
      </c>
      <c r="AU197" s="206">
        <v>8.0000000000000007E-5</v>
      </c>
      <c r="AV197" s="177">
        <v>0</v>
      </c>
      <c r="AW197" s="177">
        <v>0</v>
      </c>
      <c r="AX197" s="177">
        <v>0</v>
      </c>
      <c r="AY197" s="177">
        <v>0</v>
      </c>
    </row>
    <row r="198" spans="2:51">
      <c r="B198" s="1003"/>
      <c r="C198" s="1016"/>
      <c r="D198" s="196" t="s">
        <v>1138</v>
      </c>
      <c r="E198" s="94">
        <v>0.34998000000000001</v>
      </c>
      <c r="F198" s="94">
        <v>0.34764</v>
      </c>
      <c r="G198" s="94">
        <v>8.4000000000000003E-4</v>
      </c>
      <c r="H198" s="94">
        <v>1.5100000000000001E-3</v>
      </c>
      <c r="Q198" s="1018"/>
      <c r="R198" s="1018"/>
      <c r="S198" s="196" t="s">
        <v>1220</v>
      </c>
      <c r="T198" s="197">
        <v>0.22868000000000002</v>
      </c>
      <c r="U198" s="197">
        <v>0.22570000000000001</v>
      </c>
      <c r="V198" s="197">
        <v>1.0000000000000001E-5</v>
      </c>
      <c r="W198" s="197">
        <v>2.97E-3</v>
      </c>
      <c r="X198" s="197">
        <v>0.24736</v>
      </c>
      <c r="Y198" s="197">
        <v>0.24623999999999999</v>
      </c>
      <c r="Z198" s="197">
        <v>5.1000000000000004E-4</v>
      </c>
      <c r="AA198" s="197">
        <v>6.0999999999999997E-4</v>
      </c>
      <c r="AB198" s="197">
        <v>0.16930000000000001</v>
      </c>
      <c r="AC198" s="197">
        <v>0.16752</v>
      </c>
      <c r="AD198" s="197">
        <v>3.3E-4</v>
      </c>
      <c r="AE198" s="197">
        <v>1.4499999999999999E-3</v>
      </c>
      <c r="AF198" s="172"/>
      <c r="AG198" s="172"/>
      <c r="AH198" s="172"/>
      <c r="AI198" s="172"/>
      <c r="AJ198" s="176"/>
      <c r="AK198" s="176"/>
      <c r="AL198" s="176"/>
      <c r="AM198" s="176"/>
      <c r="AN198" s="206">
        <v>0.24072000000000002</v>
      </c>
      <c r="AO198" s="206">
        <v>0.23894000000000001</v>
      </c>
      <c r="AP198" s="206">
        <v>3.3E-4</v>
      </c>
      <c r="AQ198" s="206">
        <v>1.4499999999999999E-3</v>
      </c>
      <c r="AR198" s="206">
        <v>4.7230000000000001E-2</v>
      </c>
      <c r="AS198" s="206">
        <v>4.6960000000000002E-2</v>
      </c>
      <c r="AT198" s="206">
        <v>1.3999999999999999E-4</v>
      </c>
      <c r="AU198" s="206">
        <v>1.2999999999999999E-4</v>
      </c>
      <c r="AV198" s="177">
        <v>0</v>
      </c>
      <c r="AW198" s="177">
        <v>0</v>
      </c>
      <c r="AX198" s="177">
        <v>0</v>
      </c>
      <c r="AY198" s="177">
        <v>0</v>
      </c>
    </row>
    <row r="199" spans="2:51">
      <c r="B199" s="1003"/>
      <c r="C199" s="1014" t="s">
        <v>1238</v>
      </c>
      <c r="D199" s="196" t="s">
        <v>1136</v>
      </c>
      <c r="E199" s="76">
        <v>3393.76</v>
      </c>
      <c r="F199" s="76">
        <v>3384.12</v>
      </c>
      <c r="G199" s="76">
        <v>3.02</v>
      </c>
      <c r="H199" s="76">
        <v>6.62</v>
      </c>
      <c r="Q199" s="1018"/>
      <c r="R199" s="1018" t="s">
        <v>1239</v>
      </c>
      <c r="S199" s="196" t="s">
        <v>485</v>
      </c>
      <c r="T199" s="197">
        <v>0.17061000000000001</v>
      </c>
      <c r="U199" s="197">
        <v>0.16877</v>
      </c>
      <c r="V199" s="197">
        <v>4.3200000000000001E-6</v>
      </c>
      <c r="W199" s="197">
        <v>1.8400000000000001E-3</v>
      </c>
      <c r="X199" s="197">
        <v>0.19228000000000001</v>
      </c>
      <c r="Y199" s="197">
        <v>0.19158</v>
      </c>
      <c r="Z199" s="197">
        <v>3.2000000000000003E-4</v>
      </c>
      <c r="AA199" s="197">
        <v>3.8000000000000002E-4</v>
      </c>
      <c r="AB199" s="197">
        <v>0.10895000000000001</v>
      </c>
      <c r="AC199" s="197">
        <v>0.10764</v>
      </c>
      <c r="AD199" s="197">
        <v>1.4999999999999999E-4</v>
      </c>
      <c r="AE199" s="197">
        <v>1.16E-3</v>
      </c>
      <c r="AF199" s="288">
        <v>0.16175999999999999</v>
      </c>
      <c r="AG199" s="288">
        <v>0.15972</v>
      </c>
      <c r="AH199" s="288">
        <v>1.5900000000000001E-3</v>
      </c>
      <c r="AI199" s="288">
        <v>4.4999999999999999E-4</v>
      </c>
      <c r="AJ199" s="206">
        <v>0.18065999999999999</v>
      </c>
      <c r="AK199" s="206">
        <v>0.18015999999999999</v>
      </c>
      <c r="AL199" s="206">
        <v>5.0000000000000002E-5</v>
      </c>
      <c r="AM199" s="206">
        <v>4.4999999999999999E-4</v>
      </c>
      <c r="AN199" s="206">
        <v>0.18071000000000001</v>
      </c>
      <c r="AO199" s="206">
        <v>0.1794</v>
      </c>
      <c r="AP199" s="206">
        <v>1.4999999999999999E-4</v>
      </c>
      <c r="AQ199" s="206">
        <v>1.16E-3</v>
      </c>
      <c r="AR199" s="206">
        <v>7.0830000000000004E-2</v>
      </c>
      <c r="AS199" s="206">
        <v>7.0400000000000004E-2</v>
      </c>
      <c r="AT199" s="206">
        <v>2.1000000000000001E-4</v>
      </c>
      <c r="AU199" s="206">
        <v>2.2000000000000001E-4</v>
      </c>
      <c r="AV199" s="177">
        <v>0</v>
      </c>
      <c r="AW199" s="177">
        <v>0</v>
      </c>
      <c r="AX199" s="177">
        <v>0</v>
      </c>
      <c r="AY199" s="177">
        <v>0</v>
      </c>
    </row>
    <row r="200" spans="2:51">
      <c r="B200" s="1003"/>
      <c r="C200" s="1015"/>
      <c r="D200" s="196" t="s">
        <v>1137</v>
      </c>
      <c r="E200" s="94">
        <v>0.35964000000000002</v>
      </c>
      <c r="F200" s="94">
        <v>0.35860999999999998</v>
      </c>
      <c r="G200" s="94">
        <v>3.2000000000000003E-4</v>
      </c>
      <c r="H200" s="94">
        <v>6.9999999999999999E-4</v>
      </c>
      <c r="Q200" s="1018"/>
      <c r="R200" s="1018"/>
      <c r="S200" s="196" t="s">
        <v>1220</v>
      </c>
      <c r="T200" s="197">
        <v>0.27459</v>
      </c>
      <c r="U200" s="197">
        <v>0.27161000000000002</v>
      </c>
      <c r="V200" s="197">
        <v>1.0000000000000001E-5</v>
      </c>
      <c r="W200" s="197">
        <v>2.97E-3</v>
      </c>
      <c r="X200" s="197">
        <v>0.30945</v>
      </c>
      <c r="Y200" s="197">
        <v>0.30832999999999999</v>
      </c>
      <c r="Z200" s="197">
        <v>5.1000000000000004E-4</v>
      </c>
      <c r="AA200" s="197">
        <v>6.0999999999999997E-4</v>
      </c>
      <c r="AB200" s="197">
        <v>0.17534</v>
      </c>
      <c r="AC200" s="197">
        <v>0.17323</v>
      </c>
      <c r="AD200" s="197">
        <v>2.4000000000000001E-4</v>
      </c>
      <c r="AE200" s="197">
        <v>1.8699999999999999E-3</v>
      </c>
      <c r="AF200" s="288">
        <v>0.26034000000000002</v>
      </c>
      <c r="AG200" s="288">
        <v>0.25705</v>
      </c>
      <c r="AH200" s="288">
        <v>2.5699999999999998E-3</v>
      </c>
      <c r="AI200" s="288">
        <v>7.2000000000000005E-4</v>
      </c>
      <c r="AJ200" s="206">
        <v>0.29073000000000004</v>
      </c>
      <c r="AK200" s="206">
        <v>0.28993000000000002</v>
      </c>
      <c r="AL200" s="206">
        <v>8.0000000000000007E-5</v>
      </c>
      <c r="AM200" s="206">
        <v>7.2000000000000005E-4</v>
      </c>
      <c r="AN200" s="206">
        <v>0.29082000000000002</v>
      </c>
      <c r="AO200" s="206">
        <v>0.28871000000000002</v>
      </c>
      <c r="AP200" s="206">
        <v>2.4000000000000001E-4</v>
      </c>
      <c r="AQ200" s="206">
        <v>1.8699999999999999E-3</v>
      </c>
      <c r="AR200" s="206">
        <v>0.11398999999999999</v>
      </c>
      <c r="AS200" s="206">
        <v>0.1133</v>
      </c>
      <c r="AT200" s="206">
        <v>3.4000000000000002E-4</v>
      </c>
      <c r="AU200" s="206">
        <v>3.5E-4</v>
      </c>
      <c r="AV200" s="177">
        <v>0</v>
      </c>
      <c r="AW200" s="177">
        <v>0</v>
      </c>
      <c r="AX200" s="177">
        <v>0</v>
      </c>
      <c r="AY200" s="177">
        <v>0</v>
      </c>
    </row>
    <row r="201" spans="2:51">
      <c r="B201" s="1003"/>
      <c r="C201" s="1016"/>
      <c r="D201" s="196" t="s">
        <v>1138</v>
      </c>
      <c r="E201" s="94">
        <v>0.34165000000000001</v>
      </c>
      <c r="F201" s="94">
        <v>0.34067999999999998</v>
      </c>
      <c r="G201" s="94">
        <v>2.9999999999999997E-4</v>
      </c>
      <c r="H201" s="94">
        <v>6.7000000000000002E-4</v>
      </c>
      <c r="Q201" s="1018"/>
      <c r="R201" s="1018" t="s">
        <v>1240</v>
      </c>
      <c r="S201" s="196" t="s">
        <v>485</v>
      </c>
      <c r="T201" s="197">
        <v>0.20946999999999999</v>
      </c>
      <c r="U201" s="197">
        <v>0.20763000000000001</v>
      </c>
      <c r="V201" s="197">
        <v>4.3200000000000001E-6</v>
      </c>
      <c r="W201" s="197">
        <v>1.8400000000000001E-3</v>
      </c>
      <c r="X201" s="197">
        <v>0.28294999999999998</v>
      </c>
      <c r="Y201" s="197">
        <v>0.28225</v>
      </c>
      <c r="Z201" s="197">
        <v>3.2000000000000003E-4</v>
      </c>
      <c r="AA201" s="197">
        <v>3.8000000000000002E-4</v>
      </c>
      <c r="AB201" s="197">
        <v>0.13177</v>
      </c>
      <c r="AC201" s="197">
        <v>0.13022</v>
      </c>
      <c r="AD201" s="197">
        <v>9.0000000000000006E-5</v>
      </c>
      <c r="AE201" s="197">
        <v>1.4599999999999999E-3</v>
      </c>
      <c r="AF201" s="288">
        <v>0.23735000000000001</v>
      </c>
      <c r="AG201" s="288">
        <v>0.23530999999999999</v>
      </c>
      <c r="AH201" s="288">
        <v>1.5900000000000001E-3</v>
      </c>
      <c r="AI201" s="288">
        <v>4.4999999999999999E-4</v>
      </c>
      <c r="AJ201" s="206">
        <v>0.26590999999999998</v>
      </c>
      <c r="AK201" s="206">
        <v>0.26540999999999998</v>
      </c>
      <c r="AL201" s="206">
        <v>5.0000000000000002E-5</v>
      </c>
      <c r="AM201" s="206">
        <v>4.4999999999999999E-4</v>
      </c>
      <c r="AN201" s="206">
        <v>0.22857</v>
      </c>
      <c r="AO201" s="206">
        <v>0.22702</v>
      </c>
      <c r="AP201" s="206">
        <v>9.0000000000000006E-5</v>
      </c>
      <c r="AQ201" s="206">
        <v>1.4599999999999999E-3</v>
      </c>
      <c r="AR201" s="206">
        <v>7.7310000000000004E-2</v>
      </c>
      <c r="AS201" s="206">
        <v>7.6850000000000002E-2</v>
      </c>
      <c r="AT201" s="206">
        <v>2.4000000000000001E-4</v>
      </c>
      <c r="AU201" s="206">
        <v>2.2000000000000001E-4</v>
      </c>
      <c r="AV201" s="177">
        <v>0</v>
      </c>
      <c r="AW201" s="177">
        <v>0</v>
      </c>
      <c r="AX201" s="177">
        <v>0</v>
      </c>
      <c r="AY201" s="177">
        <v>0</v>
      </c>
    </row>
    <row r="202" spans="2:51">
      <c r="B202" s="1003"/>
      <c r="C202" s="1014" t="s">
        <v>1241</v>
      </c>
      <c r="D202" s="196" t="s">
        <v>1136</v>
      </c>
      <c r="E202" s="76">
        <v>2264.9299999999998</v>
      </c>
      <c r="F202" s="76">
        <v>2251</v>
      </c>
      <c r="G202" s="76">
        <v>0.63</v>
      </c>
      <c r="H202" s="76">
        <v>13.29</v>
      </c>
      <c r="Q202" s="1018"/>
      <c r="R202" s="1018"/>
      <c r="S202" s="196" t="s">
        <v>1220</v>
      </c>
      <c r="T202" s="197">
        <v>0.33712999999999999</v>
      </c>
      <c r="U202" s="197">
        <v>0.33415</v>
      </c>
      <c r="V202" s="197">
        <v>1.0000000000000001E-5</v>
      </c>
      <c r="W202" s="197">
        <v>2.97E-3</v>
      </c>
      <c r="X202" s="197">
        <v>0.45535999999999999</v>
      </c>
      <c r="Y202" s="197">
        <v>0.45423999999999998</v>
      </c>
      <c r="Z202" s="197">
        <v>5.1000000000000004E-4</v>
      </c>
      <c r="AA202" s="197">
        <v>6.0999999999999997E-4</v>
      </c>
      <c r="AB202" s="197">
        <v>0.21207000000000001</v>
      </c>
      <c r="AC202" s="197">
        <v>0.20957000000000001</v>
      </c>
      <c r="AD202" s="197">
        <v>1.3999999999999999E-4</v>
      </c>
      <c r="AE202" s="197">
        <v>2.3600000000000001E-3</v>
      </c>
      <c r="AF202" s="288">
        <v>0.38198000000000004</v>
      </c>
      <c r="AG202" s="288">
        <v>0.37869000000000003</v>
      </c>
      <c r="AH202" s="288">
        <v>2.5699999999999998E-3</v>
      </c>
      <c r="AI202" s="288">
        <v>7.2000000000000005E-4</v>
      </c>
      <c r="AJ202" s="206">
        <v>0.42794000000000004</v>
      </c>
      <c r="AK202" s="206">
        <v>0.42714000000000002</v>
      </c>
      <c r="AL202" s="206">
        <v>8.0000000000000007E-5</v>
      </c>
      <c r="AM202" s="206">
        <v>7.2000000000000005E-4</v>
      </c>
      <c r="AN202" s="206">
        <v>0.36784999999999995</v>
      </c>
      <c r="AO202" s="206">
        <v>0.36535000000000001</v>
      </c>
      <c r="AP202" s="206">
        <v>1.3999999999999999E-4</v>
      </c>
      <c r="AQ202" s="206">
        <v>2.3600000000000001E-3</v>
      </c>
      <c r="AR202" s="206">
        <v>0.12442</v>
      </c>
      <c r="AS202" s="206">
        <v>0.12368</v>
      </c>
      <c r="AT202" s="206">
        <v>3.8000000000000002E-4</v>
      </c>
      <c r="AU202" s="206">
        <v>3.6000000000000002E-4</v>
      </c>
      <c r="AV202" s="177">
        <v>0</v>
      </c>
      <c r="AW202" s="177">
        <v>0</v>
      </c>
      <c r="AX202" s="177">
        <v>0</v>
      </c>
      <c r="AY202" s="177">
        <v>0</v>
      </c>
    </row>
    <row r="203" spans="2:51">
      <c r="B203" s="1003"/>
      <c r="C203" s="1015"/>
      <c r="D203" s="196" t="s">
        <v>1137</v>
      </c>
      <c r="E203" s="94">
        <v>0.33853</v>
      </c>
      <c r="F203" s="94">
        <v>0.33645000000000003</v>
      </c>
      <c r="G203" s="94">
        <v>9.0000000000000006E-5</v>
      </c>
      <c r="H203" s="94">
        <v>1.99E-3</v>
      </c>
      <c r="Q203" s="1018"/>
      <c r="R203" s="1018" t="s">
        <v>1242</v>
      </c>
      <c r="S203" s="196" t="s">
        <v>485</v>
      </c>
      <c r="T203" s="197">
        <v>0.17335999999999999</v>
      </c>
      <c r="U203" s="197">
        <v>0.17152000000000001</v>
      </c>
      <c r="V203" s="197">
        <v>4.3200000000000001E-6</v>
      </c>
      <c r="W203" s="197">
        <v>1.8400000000000001E-3</v>
      </c>
      <c r="X203" s="197">
        <v>0.18084</v>
      </c>
      <c r="Y203" s="197">
        <v>0.18013999999999999</v>
      </c>
      <c r="Z203" s="197">
        <v>3.2000000000000003E-4</v>
      </c>
      <c r="AA203" s="197">
        <v>3.8000000000000002E-4</v>
      </c>
      <c r="AB203" s="197">
        <v>0.11473</v>
      </c>
      <c r="AC203" s="197">
        <v>0.11346000000000001</v>
      </c>
      <c r="AD203" s="197">
        <v>1.6000000000000001E-4</v>
      </c>
      <c r="AE203" s="197">
        <v>1.1100000000000001E-3</v>
      </c>
      <c r="AF203" s="288">
        <v>0.17802999999999999</v>
      </c>
      <c r="AG203" s="288">
        <v>0.17599000000000001</v>
      </c>
      <c r="AH203" s="288">
        <v>1.5900000000000001E-3</v>
      </c>
      <c r="AI203" s="288">
        <v>4.4999999999999999E-4</v>
      </c>
      <c r="AJ203" s="206">
        <v>0.19900999999999999</v>
      </c>
      <c r="AK203" s="206">
        <v>0.19850999999999999</v>
      </c>
      <c r="AL203" s="206">
        <v>5.0000000000000002E-5</v>
      </c>
      <c r="AM203" s="206">
        <v>4.4999999999999999E-4</v>
      </c>
      <c r="AN203" s="206">
        <v>0.17710000000000001</v>
      </c>
      <c r="AO203" s="206">
        <v>0.17582999999999999</v>
      </c>
      <c r="AP203" s="206">
        <v>1.6000000000000001E-4</v>
      </c>
      <c r="AQ203" s="206">
        <v>1.1100000000000001E-3</v>
      </c>
      <c r="AR203" s="206">
        <v>7.0750000000000007E-2</v>
      </c>
      <c r="AS203" s="206">
        <v>7.0330000000000004E-2</v>
      </c>
      <c r="AT203" s="206">
        <v>2.1000000000000001E-4</v>
      </c>
      <c r="AU203" s="206">
        <v>2.1000000000000001E-4</v>
      </c>
      <c r="AV203" s="177">
        <v>0</v>
      </c>
      <c r="AW203" s="177">
        <v>0</v>
      </c>
      <c r="AX203" s="177">
        <v>0</v>
      </c>
      <c r="AY203" s="177">
        <v>0</v>
      </c>
    </row>
    <row r="204" spans="2:51">
      <c r="B204" s="1004"/>
      <c r="C204" s="1016"/>
      <c r="D204" s="196" t="s">
        <v>1138</v>
      </c>
      <c r="E204" s="94">
        <v>0.32161000000000001</v>
      </c>
      <c r="F204" s="94">
        <v>0.31963000000000003</v>
      </c>
      <c r="G204" s="94">
        <v>9.0000000000000006E-5</v>
      </c>
      <c r="H204" s="94">
        <v>1.89E-3</v>
      </c>
      <c r="Q204" s="1018"/>
      <c r="R204" s="1018"/>
      <c r="S204" s="196" t="s">
        <v>1220</v>
      </c>
      <c r="T204" s="197">
        <v>0.27900999999999998</v>
      </c>
      <c r="U204" s="197">
        <v>0.27603</v>
      </c>
      <c r="V204" s="197">
        <v>1.0000000000000001E-5</v>
      </c>
      <c r="W204" s="197">
        <v>2.97E-3</v>
      </c>
      <c r="X204" s="197">
        <v>0.29103000000000001</v>
      </c>
      <c r="Y204" s="197">
        <v>0.28991</v>
      </c>
      <c r="Z204" s="197">
        <v>5.1000000000000004E-4</v>
      </c>
      <c r="AA204" s="197">
        <v>6.0999999999999997E-4</v>
      </c>
      <c r="AB204" s="197">
        <v>0.18464000000000003</v>
      </c>
      <c r="AC204" s="197">
        <v>0.18259</v>
      </c>
      <c r="AD204" s="197">
        <v>2.5999999999999998E-4</v>
      </c>
      <c r="AE204" s="197">
        <v>1.7899999999999999E-3</v>
      </c>
      <c r="AF204" s="288">
        <v>0.28653000000000001</v>
      </c>
      <c r="AG204" s="288">
        <v>0.28323999999999999</v>
      </c>
      <c r="AH204" s="288">
        <v>2.5699999999999998E-3</v>
      </c>
      <c r="AI204" s="288">
        <v>7.2000000000000005E-4</v>
      </c>
      <c r="AJ204" s="206">
        <v>0.32027</v>
      </c>
      <c r="AK204" s="206">
        <v>0.31946999999999998</v>
      </c>
      <c r="AL204" s="206">
        <v>8.0000000000000007E-5</v>
      </c>
      <c r="AM204" s="206">
        <v>7.2000000000000005E-4</v>
      </c>
      <c r="AN204" s="206">
        <v>0.28502</v>
      </c>
      <c r="AO204" s="206">
        <v>0.28297</v>
      </c>
      <c r="AP204" s="206">
        <v>2.5999999999999998E-4</v>
      </c>
      <c r="AQ204" s="206">
        <v>1.7899999999999999E-3</v>
      </c>
      <c r="AR204" s="206">
        <v>0.11386000000000002</v>
      </c>
      <c r="AS204" s="206">
        <v>0.11318</v>
      </c>
      <c r="AT204" s="206">
        <v>3.4000000000000002E-4</v>
      </c>
      <c r="AU204" s="206">
        <v>3.4000000000000002E-4</v>
      </c>
      <c r="AV204" s="177">
        <v>0</v>
      </c>
      <c r="AW204" s="177">
        <v>0</v>
      </c>
      <c r="AX204" s="177">
        <v>0</v>
      </c>
      <c r="AY204" s="177">
        <v>0</v>
      </c>
    </row>
    <row r="205" spans="2:51">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c r="AL205" s="194"/>
      <c r="AM205" s="194"/>
      <c r="AN205" s="194"/>
      <c r="AO205" s="194"/>
      <c r="AP205" s="194"/>
      <c r="AQ205" s="194"/>
      <c r="AR205" s="194"/>
      <c r="AS205" s="194"/>
      <c r="AT205" s="194"/>
      <c r="AU205" s="194"/>
      <c r="AV205" s="194"/>
      <c r="AW205" s="194"/>
      <c r="AX205" s="194"/>
      <c r="AY205" s="194"/>
    </row>
    <row r="206" spans="2:51">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row>
    <row r="207" spans="2:51" ht="16.5">
      <c r="B207" s="93" t="s">
        <v>1129</v>
      </c>
      <c r="C207" s="195" t="s">
        <v>1130</v>
      </c>
      <c r="D207" s="195" t="s">
        <v>860</v>
      </c>
      <c r="E207" s="96" t="s">
        <v>1131</v>
      </c>
      <c r="Q207" s="194"/>
      <c r="R207" s="194"/>
      <c r="S207" s="194"/>
      <c r="T207" s="194"/>
      <c r="U207" s="194"/>
      <c r="V207" s="194"/>
      <c r="W207" s="194"/>
      <c r="X207" s="194"/>
      <c r="Y207" s="194"/>
      <c r="Z207" s="194"/>
      <c r="AA207" s="194"/>
      <c r="AB207" s="194"/>
      <c r="AC207" s="194"/>
      <c r="AD207" s="194"/>
      <c r="AE207" s="194"/>
      <c r="AF207" s="194"/>
      <c r="AG207" s="194"/>
      <c r="AH207" s="194"/>
      <c r="AI207" s="194"/>
      <c r="AJ207" s="194"/>
      <c r="AK207" s="194"/>
      <c r="AL207" s="194"/>
      <c r="AM207" s="194"/>
      <c r="AN207" s="194"/>
      <c r="AO207" s="194"/>
      <c r="AP207" s="194"/>
      <c r="AQ207" s="194"/>
      <c r="AR207" s="194"/>
      <c r="AS207" s="194"/>
      <c r="AT207" s="194"/>
      <c r="AU207" s="194"/>
      <c r="AV207" s="194"/>
      <c r="AW207" s="194"/>
      <c r="AX207" s="194"/>
      <c r="AY207" s="194"/>
    </row>
    <row r="208" spans="2:51" ht="16.5">
      <c r="B208" s="1017" t="s">
        <v>1243</v>
      </c>
      <c r="C208" s="1018" t="s">
        <v>1244</v>
      </c>
      <c r="D208" s="196" t="s">
        <v>554</v>
      </c>
      <c r="E208" s="94">
        <v>8.5500000000000003E-3</v>
      </c>
      <c r="Q208" s="195" t="s">
        <v>1129</v>
      </c>
      <c r="R208" s="195" t="s">
        <v>1215</v>
      </c>
      <c r="S208" s="195" t="s">
        <v>860</v>
      </c>
      <c r="T208" s="196" t="s">
        <v>1131</v>
      </c>
      <c r="U208" s="196" t="s">
        <v>1132</v>
      </c>
      <c r="V208" s="196" t="s">
        <v>1133</v>
      </c>
      <c r="W208" s="196" t="s">
        <v>1134</v>
      </c>
      <c r="X208" s="194"/>
      <c r="Y208" s="194"/>
      <c r="Z208" s="194"/>
      <c r="AA208" s="194"/>
      <c r="AB208" s="194"/>
      <c r="AC208" s="194"/>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row>
    <row r="209" spans="2:51">
      <c r="B209" s="1017"/>
      <c r="C209" s="1018"/>
      <c r="D209" s="196" t="s">
        <v>448</v>
      </c>
      <c r="E209" s="94">
        <v>0.40148</v>
      </c>
      <c r="Q209" s="1018" t="s">
        <v>623</v>
      </c>
      <c r="R209" s="1018" t="s">
        <v>340</v>
      </c>
      <c r="S209" s="196" t="s">
        <v>485</v>
      </c>
      <c r="T209" s="197">
        <v>8.4449999999999997E-2</v>
      </c>
      <c r="U209" s="197">
        <v>8.2409999999999997E-2</v>
      </c>
      <c r="V209" s="197">
        <v>1.74E-3</v>
      </c>
      <c r="W209" s="197">
        <v>2.9999999999999997E-4</v>
      </c>
      <c r="X209" s="194"/>
      <c r="Y209" s="194"/>
      <c r="Z209" s="194"/>
      <c r="AA209" s="194"/>
      <c r="AB209" s="194"/>
      <c r="AC209" s="194"/>
      <c r="AD209" s="194"/>
      <c r="AE209" s="194"/>
      <c r="AF209" s="194"/>
      <c r="AG209" s="194"/>
      <c r="AH209" s="194"/>
      <c r="AI209" s="194"/>
      <c r="AJ209" s="194"/>
      <c r="AK209" s="194"/>
      <c r="AL209" s="194"/>
      <c r="AM209" s="194"/>
      <c r="AN209" s="194"/>
      <c r="AO209" s="194"/>
      <c r="AP209" s="194"/>
      <c r="AQ209" s="194"/>
      <c r="AR209" s="194"/>
      <c r="AS209" s="194"/>
      <c r="AT209" s="194"/>
      <c r="AU209" s="194"/>
      <c r="AV209" s="194"/>
      <c r="AW209" s="194"/>
      <c r="AX209" s="194"/>
      <c r="AY209" s="194"/>
    </row>
    <row r="210" spans="2:51">
      <c r="B210" s="1017"/>
      <c r="C210" s="1018"/>
      <c r="D210" s="196" t="s">
        <v>84</v>
      </c>
      <c r="E210" s="94">
        <v>1.076E-2</v>
      </c>
      <c r="Q210" s="1018"/>
      <c r="R210" s="1018"/>
      <c r="S210" s="196" t="s">
        <v>1220</v>
      </c>
      <c r="T210" s="197">
        <v>0.13591</v>
      </c>
      <c r="U210" s="197">
        <v>0.13263</v>
      </c>
      <c r="V210" s="197">
        <v>2.8E-3</v>
      </c>
      <c r="W210" s="197">
        <v>4.8000000000000001E-4</v>
      </c>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row>
    <row r="211" spans="2:51">
      <c r="B211" s="1017"/>
      <c r="C211" s="1018" t="s">
        <v>564</v>
      </c>
      <c r="D211" s="196" t="s">
        <v>554</v>
      </c>
      <c r="E211" s="94">
        <v>3.1780000000000003E-2</v>
      </c>
      <c r="Q211" s="1018"/>
      <c r="R211" s="1018" t="s">
        <v>341</v>
      </c>
      <c r="S211" s="196" t="s">
        <v>485</v>
      </c>
      <c r="T211" s="197">
        <v>0.10289000000000001</v>
      </c>
      <c r="U211" s="197">
        <v>0.10004</v>
      </c>
      <c r="V211" s="197">
        <v>2.2499999999999998E-3</v>
      </c>
      <c r="W211" s="197">
        <v>5.9999999999999995E-4</v>
      </c>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row>
    <row r="212" spans="2:51">
      <c r="B212" s="1017"/>
      <c r="C212" s="1018"/>
      <c r="D212" s="196" t="s">
        <v>448</v>
      </c>
      <c r="E212" s="94">
        <v>0.96014999999999995</v>
      </c>
      <c r="Q212" s="1018"/>
      <c r="R212" s="1018"/>
      <c r="S212" s="196" t="s">
        <v>1220</v>
      </c>
      <c r="T212" s="197">
        <v>0.16559000000000001</v>
      </c>
      <c r="U212" s="179">
        <v>0.161</v>
      </c>
      <c r="V212" s="197">
        <v>3.62E-3</v>
      </c>
      <c r="W212" s="197">
        <v>9.7000000000000005E-4</v>
      </c>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row>
    <row r="213" spans="2:51">
      <c r="B213" s="1017"/>
      <c r="C213" s="1018"/>
      <c r="D213" s="196" t="s">
        <v>84</v>
      </c>
      <c r="E213" s="94">
        <v>3.5720000000000002E-2</v>
      </c>
      <c r="Q213" s="1018"/>
      <c r="R213" s="1018" t="s">
        <v>1245</v>
      </c>
      <c r="S213" s="196" t="s">
        <v>485</v>
      </c>
      <c r="T213" s="197">
        <v>0.13500999999999999</v>
      </c>
      <c r="U213" s="197">
        <v>0.13308</v>
      </c>
      <c r="V213" s="197">
        <v>1.33E-3</v>
      </c>
      <c r="W213" s="197">
        <v>5.9999999999999995E-4</v>
      </c>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row>
    <row r="214" spans="2:51">
      <c r="B214" s="1017"/>
      <c r="C214" s="1018" t="s">
        <v>1246</v>
      </c>
      <c r="D214" s="196" t="s">
        <v>554</v>
      </c>
      <c r="E214" s="97"/>
      <c r="Q214" s="1018"/>
      <c r="R214" s="1018"/>
      <c r="S214" s="196" t="s">
        <v>1220</v>
      </c>
      <c r="T214" s="197">
        <v>0.21729000000000001</v>
      </c>
      <c r="U214" s="197">
        <v>0.21418000000000001</v>
      </c>
      <c r="V214" s="197">
        <v>2.14E-3</v>
      </c>
      <c r="W214" s="197">
        <v>9.7000000000000005E-4</v>
      </c>
      <c r="X214" s="194"/>
      <c r="Y214" s="194"/>
      <c r="Z214" s="194"/>
      <c r="AA214" s="194"/>
      <c r="AB214" s="194"/>
      <c r="AC214" s="194"/>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row>
    <row r="215" spans="2:51">
      <c r="B215" s="1017"/>
      <c r="C215" s="1018"/>
      <c r="D215" s="196" t="s">
        <v>448</v>
      </c>
      <c r="E215" s="94">
        <v>0.10433000000000001</v>
      </c>
      <c r="Q215" s="1018"/>
      <c r="R215" s="1018" t="s">
        <v>1247</v>
      </c>
      <c r="S215" s="196" t="s">
        <v>485</v>
      </c>
      <c r="T215" s="197">
        <v>0.11551</v>
      </c>
      <c r="U215" s="197">
        <v>0.11314</v>
      </c>
      <c r="V215" s="197">
        <v>1.7799999999999999E-3</v>
      </c>
      <c r="W215" s="197">
        <v>5.9000000000000003E-4</v>
      </c>
      <c r="X215" s="194"/>
      <c r="Y215" s="194"/>
      <c r="Z215" s="194"/>
      <c r="AA215" s="194"/>
      <c r="AB215" s="194"/>
      <c r="AC215" s="194"/>
      <c r="AD215" s="194"/>
      <c r="AE215" s="194"/>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row>
    <row r="216" spans="2:51">
      <c r="B216" s="1017"/>
      <c r="C216" s="1018"/>
      <c r="D216" s="196" t="s">
        <v>84</v>
      </c>
      <c r="E216" s="94">
        <v>5.11E-3</v>
      </c>
      <c r="Q216" s="1018"/>
      <c r="R216" s="1018"/>
      <c r="S216" s="196" t="s">
        <v>1220</v>
      </c>
      <c r="T216" s="197">
        <v>0.18589</v>
      </c>
      <c r="U216" s="197">
        <v>0.18207999999999999</v>
      </c>
      <c r="V216" s="197">
        <v>2.8600000000000001E-3</v>
      </c>
      <c r="W216" s="197">
        <v>9.5E-4</v>
      </c>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row>
    <row r="217" spans="2:51">
      <c r="B217" s="1017"/>
      <c r="C217" s="1019" t="s">
        <v>1248</v>
      </c>
      <c r="D217" s="196" t="s">
        <v>554</v>
      </c>
      <c r="E217" s="94">
        <v>3.1780000000000003E-2</v>
      </c>
    </row>
    <row r="218" spans="2:51">
      <c r="B218" s="1017"/>
      <c r="C218" s="1019"/>
      <c r="D218" s="196" t="s">
        <v>448</v>
      </c>
      <c r="E218" s="94">
        <v>0.96014999999999995</v>
      </c>
    </row>
    <row r="219" spans="2:51">
      <c r="B219" s="1017"/>
      <c r="C219" s="1019"/>
      <c r="D219" s="196" t="s">
        <v>84</v>
      </c>
      <c r="E219" s="94">
        <v>3.5720000000000002E-2</v>
      </c>
      <c r="Q219" s="180"/>
      <c r="R219" s="180"/>
      <c r="S219" s="180"/>
      <c r="T219" s="180"/>
      <c r="U219" s="1031" t="s">
        <v>1249</v>
      </c>
      <c r="V219" s="1032"/>
      <c r="W219" s="1032"/>
      <c r="X219" s="1033"/>
      <c r="Y219" s="1034" t="s">
        <v>1250</v>
      </c>
      <c r="Z219" s="1032"/>
      <c r="AA219" s="1032"/>
      <c r="AB219" s="1035"/>
    </row>
    <row r="220" spans="2:51" ht="16.5">
      <c r="B220" s="1017"/>
      <c r="C220" s="1019" t="s">
        <v>1251</v>
      </c>
      <c r="D220" s="196" t="s">
        <v>554</v>
      </c>
      <c r="E220" s="94">
        <v>3.1780000000000003E-2</v>
      </c>
      <c r="Q220" s="183" t="s">
        <v>1129</v>
      </c>
      <c r="R220" s="184" t="s">
        <v>1252</v>
      </c>
      <c r="S220" s="184" t="s">
        <v>1253</v>
      </c>
      <c r="T220" s="187" t="s">
        <v>860</v>
      </c>
      <c r="U220" s="190" t="s">
        <v>1131</v>
      </c>
      <c r="V220" s="181" t="s">
        <v>1132</v>
      </c>
      <c r="W220" s="181" t="s">
        <v>1133</v>
      </c>
      <c r="X220" s="192" t="s">
        <v>1134</v>
      </c>
      <c r="Y220" s="182" t="s">
        <v>1131</v>
      </c>
      <c r="Z220" s="181" t="s">
        <v>1132</v>
      </c>
      <c r="AA220" s="181" t="s">
        <v>1133</v>
      </c>
      <c r="AB220" s="185" t="s">
        <v>1134</v>
      </c>
    </row>
    <row r="221" spans="2:51" ht="58">
      <c r="B221" s="1017"/>
      <c r="C221" s="1019"/>
      <c r="D221" s="196" t="s">
        <v>448</v>
      </c>
      <c r="E221" s="94">
        <v>0.96014999999999995</v>
      </c>
      <c r="Q221" s="1036" t="s">
        <v>1254</v>
      </c>
      <c r="R221" s="181" t="s">
        <v>1255</v>
      </c>
      <c r="S221" s="181" t="s">
        <v>1256</v>
      </c>
      <c r="T221" s="188" t="s">
        <v>1257</v>
      </c>
      <c r="U221" s="191">
        <v>0.25492999999999999</v>
      </c>
      <c r="V221" s="191">
        <v>0.25355</v>
      </c>
      <c r="W221" s="191">
        <v>1.2E-4</v>
      </c>
      <c r="X221" s="191">
        <v>1.2600000000000001E-3</v>
      </c>
      <c r="Y221" s="191">
        <v>0.13483000000000003</v>
      </c>
      <c r="Z221" s="191">
        <v>0.13345000000000001</v>
      </c>
      <c r="AA221" s="191">
        <v>1.2E-4</v>
      </c>
      <c r="AB221" s="191">
        <v>1.2600000000000001E-3</v>
      </c>
    </row>
    <row r="222" spans="2:51" ht="43.5">
      <c r="B222" s="1017"/>
      <c r="C222" s="1019"/>
      <c r="D222" s="196" t="s">
        <v>84</v>
      </c>
      <c r="E222" s="94">
        <v>3.5720000000000002E-2</v>
      </c>
      <c r="Q222" s="1036"/>
      <c r="R222" s="1017" t="s">
        <v>1258</v>
      </c>
      <c r="S222" s="181" t="s">
        <v>1256</v>
      </c>
      <c r="T222" s="188" t="s">
        <v>1257</v>
      </c>
      <c r="U222" s="191">
        <v>0.15832000000000002</v>
      </c>
      <c r="V222" s="191">
        <v>0.15753</v>
      </c>
      <c r="W222" s="191">
        <v>1.0000000000000001E-5</v>
      </c>
      <c r="X222" s="191">
        <v>7.7999999999999999E-4</v>
      </c>
      <c r="Y222" s="191">
        <v>8.3699999999999997E-2</v>
      </c>
      <c r="Z222" s="191">
        <v>8.2909999999999998E-2</v>
      </c>
      <c r="AA222" s="191">
        <v>1.0000000000000001E-5</v>
      </c>
      <c r="AB222" s="191">
        <v>7.7999999999999999E-4</v>
      </c>
    </row>
    <row r="223" spans="2:51" ht="29">
      <c r="B223" s="180"/>
      <c r="C223" s="194"/>
      <c r="D223" s="194"/>
      <c r="E223" s="95"/>
      <c r="Q223" s="1036"/>
      <c r="R223" s="1017"/>
      <c r="S223" s="181" t="s">
        <v>1259</v>
      </c>
      <c r="T223" s="188" t="s">
        <v>1257</v>
      </c>
      <c r="U223" s="191">
        <v>0.15573000000000001</v>
      </c>
      <c r="V223" s="191">
        <v>0.15495</v>
      </c>
      <c r="W223" s="191">
        <v>1.0000000000000001E-5</v>
      </c>
      <c r="X223" s="191">
        <v>7.6999999999999996E-4</v>
      </c>
      <c r="Y223" s="191">
        <v>8.233E-2</v>
      </c>
      <c r="Z223" s="191">
        <v>8.1549999999999997E-2</v>
      </c>
      <c r="AA223" s="191">
        <v>1.0000000000000001E-5</v>
      </c>
      <c r="AB223" s="191">
        <v>7.6999999999999996E-4</v>
      </c>
    </row>
    <row r="224" spans="2:51" ht="29">
      <c r="B224" s="180"/>
      <c r="C224" s="194"/>
      <c r="D224" s="194"/>
      <c r="E224" s="95"/>
      <c r="Q224" s="1036"/>
      <c r="R224" s="1017"/>
      <c r="S224" s="181" t="s">
        <v>1260</v>
      </c>
      <c r="T224" s="188" t="s">
        <v>1257</v>
      </c>
      <c r="U224" s="191">
        <v>0.2336</v>
      </c>
      <c r="V224" s="191">
        <v>0.23243</v>
      </c>
      <c r="W224" s="191">
        <v>1.0000000000000001E-5</v>
      </c>
      <c r="X224" s="191">
        <v>1.16E-3</v>
      </c>
      <c r="Y224" s="191">
        <v>0.12349999999999998</v>
      </c>
      <c r="Z224" s="191">
        <v>0.12232999999999999</v>
      </c>
      <c r="AA224" s="191">
        <v>1.0000000000000001E-5</v>
      </c>
      <c r="AB224" s="191">
        <v>1.16E-3</v>
      </c>
    </row>
    <row r="225" spans="2:28" ht="43.5">
      <c r="B225" s="180"/>
      <c r="C225" s="194"/>
      <c r="D225" s="194"/>
      <c r="E225" s="95"/>
      <c r="Q225" s="1036"/>
      <c r="R225" s="1017" t="s">
        <v>1261</v>
      </c>
      <c r="S225" s="181" t="s">
        <v>1256</v>
      </c>
      <c r="T225" s="188" t="s">
        <v>1257</v>
      </c>
      <c r="U225" s="191">
        <v>0.19562000000000002</v>
      </c>
      <c r="V225" s="193">
        <v>0.19464000000000001</v>
      </c>
      <c r="W225" s="191">
        <v>1.0000000000000001E-5</v>
      </c>
      <c r="X225" s="191">
        <v>9.7000000000000005E-4</v>
      </c>
      <c r="Y225" s="191">
        <v>0.10342</v>
      </c>
      <c r="Z225" s="191">
        <v>0.10244</v>
      </c>
      <c r="AA225" s="191">
        <v>1.0000000000000001E-5</v>
      </c>
      <c r="AB225" s="191">
        <v>9.7000000000000005E-4</v>
      </c>
    </row>
    <row r="226" spans="2:28" ht="30">
      <c r="B226" s="93" t="s">
        <v>1129</v>
      </c>
      <c r="C226" s="195" t="s">
        <v>1130</v>
      </c>
      <c r="D226" s="195" t="s">
        <v>860</v>
      </c>
      <c r="E226" s="98" t="s">
        <v>1131</v>
      </c>
      <c r="Q226" s="1036"/>
      <c r="R226" s="1017"/>
      <c r="S226" s="181" t="s">
        <v>1259</v>
      </c>
      <c r="T226" s="188" t="s">
        <v>1257</v>
      </c>
      <c r="U226" s="191">
        <v>0.14981</v>
      </c>
      <c r="V226" s="191">
        <v>0.14906</v>
      </c>
      <c r="W226" s="191">
        <v>1.0000000000000001E-5</v>
      </c>
      <c r="X226" s="191">
        <v>7.3999999999999999E-4</v>
      </c>
      <c r="Y226" s="191">
        <v>7.9200000000000007E-2</v>
      </c>
      <c r="Z226" s="191">
        <v>7.8450000000000006E-2</v>
      </c>
      <c r="AA226" s="191">
        <v>1.0000000000000001E-5</v>
      </c>
      <c r="AB226" s="191">
        <v>7.3999999999999999E-4</v>
      </c>
    </row>
    <row r="227" spans="2:28" ht="58">
      <c r="B227" s="1017" t="s">
        <v>1262</v>
      </c>
      <c r="C227" s="1018" t="s">
        <v>1263</v>
      </c>
      <c r="D227" s="196" t="s">
        <v>1136</v>
      </c>
      <c r="E227" s="99">
        <v>63.846829999999997</v>
      </c>
      <c r="Q227" s="1036"/>
      <c r="R227" s="1017"/>
      <c r="S227" s="181" t="s">
        <v>1264</v>
      </c>
      <c r="T227" s="188" t="s">
        <v>1257</v>
      </c>
      <c r="U227" s="191">
        <v>0.2397</v>
      </c>
      <c r="V227" s="191">
        <v>0.23849999999999999</v>
      </c>
      <c r="W227" s="191">
        <v>1.0000000000000001E-5</v>
      </c>
      <c r="X227" s="191">
        <v>1.1900000000000001E-3</v>
      </c>
      <c r="Y227" s="191">
        <v>0.12673000000000001</v>
      </c>
      <c r="Z227" s="191">
        <v>0.12553</v>
      </c>
      <c r="AA227" s="191">
        <v>1.0000000000000001E-5</v>
      </c>
      <c r="AB227" s="191">
        <v>1.1900000000000001E-3</v>
      </c>
    </row>
    <row r="228" spans="2:28" ht="29">
      <c r="B228" s="1017"/>
      <c r="C228" s="1018"/>
      <c r="D228" s="196" t="s">
        <v>399</v>
      </c>
      <c r="E228" s="99">
        <v>1.5630000000000002E-2</v>
      </c>
      <c r="Q228" s="1036"/>
      <c r="R228" s="1017"/>
      <c r="S228" s="181" t="s">
        <v>1260</v>
      </c>
      <c r="T228" s="188" t="s">
        <v>1257</v>
      </c>
      <c r="U228" s="191">
        <v>0.43446000000000001</v>
      </c>
      <c r="V228" s="191">
        <v>0.43229000000000001</v>
      </c>
      <c r="W228" s="191">
        <v>2.0000000000000002E-5</v>
      </c>
      <c r="X228" s="191">
        <v>2.15E-3</v>
      </c>
      <c r="Y228" s="191">
        <v>0.22969000000000001</v>
      </c>
      <c r="Z228" s="191">
        <v>0.22752</v>
      </c>
      <c r="AA228" s="191">
        <v>2.0000000000000002E-5</v>
      </c>
      <c r="AB228" s="191">
        <v>2.15E-3</v>
      </c>
    </row>
    <row r="229" spans="2:28" ht="29">
      <c r="B229" s="1017"/>
      <c r="C229" s="1018" t="s">
        <v>1265</v>
      </c>
      <c r="D229" s="196" t="s">
        <v>1136</v>
      </c>
      <c r="E229" s="99">
        <v>59.029020000000003</v>
      </c>
      <c r="Q229" s="1036"/>
      <c r="R229" s="1017"/>
      <c r="S229" s="181" t="s">
        <v>1266</v>
      </c>
      <c r="T229" s="188" t="s">
        <v>1257</v>
      </c>
      <c r="U229" s="191">
        <v>0.59925000000000006</v>
      </c>
      <c r="V229" s="191">
        <v>0.59626000000000001</v>
      </c>
      <c r="W229" s="191">
        <v>2.0000000000000002E-5</v>
      </c>
      <c r="X229" s="191">
        <v>2.97E-3</v>
      </c>
      <c r="Y229" s="191">
        <v>0.31680999999999998</v>
      </c>
      <c r="Z229" s="191">
        <v>0.31381999999999999</v>
      </c>
      <c r="AA229" s="191">
        <v>2.0000000000000002E-5</v>
      </c>
      <c r="AB229" s="191">
        <v>2.97E-3</v>
      </c>
    </row>
    <row r="230" spans="2:28" ht="43.5">
      <c r="B230" s="1017"/>
      <c r="C230" s="1018"/>
      <c r="D230" s="196" t="s">
        <v>399</v>
      </c>
      <c r="E230" s="99">
        <v>1.5630000000000002E-2</v>
      </c>
      <c r="Q230" s="1036"/>
      <c r="R230" s="1017" t="s">
        <v>1267</v>
      </c>
      <c r="S230" s="181" t="s">
        <v>1256</v>
      </c>
      <c r="T230" s="188" t="s">
        <v>1257</v>
      </c>
      <c r="U230" s="191">
        <v>0.18078000000000002</v>
      </c>
      <c r="V230" s="191">
        <v>0.17987</v>
      </c>
      <c r="W230" s="191">
        <v>1.0000000000000001E-5</v>
      </c>
      <c r="X230" s="191">
        <v>8.9999999999999998E-4</v>
      </c>
      <c r="Y230" s="191">
        <v>9.5579999999999998E-2</v>
      </c>
      <c r="Z230" s="191">
        <v>9.4670000000000004E-2</v>
      </c>
      <c r="AA230" s="191">
        <v>1.0000000000000001E-5</v>
      </c>
      <c r="AB230" s="191">
        <v>8.9999999999999998E-4</v>
      </c>
    </row>
    <row r="231" spans="2:28" ht="29">
      <c r="B231" s="1017"/>
      <c r="C231" s="1018" t="s">
        <v>1268</v>
      </c>
      <c r="D231" s="196" t="s">
        <v>1136</v>
      </c>
      <c r="E231" s="99">
        <v>73.135230000000007</v>
      </c>
      <c r="Q231" s="1036"/>
      <c r="R231" s="1017"/>
      <c r="S231" s="181" t="s">
        <v>1259</v>
      </c>
      <c r="T231" s="188" t="s">
        <v>1257</v>
      </c>
      <c r="U231" s="191">
        <v>0.13844530000000002</v>
      </c>
      <c r="V231" s="191">
        <v>0.13775000000000001</v>
      </c>
      <c r="W231" s="191">
        <v>5.3000000000000001E-6</v>
      </c>
      <c r="X231" s="191">
        <v>6.8999999999999997E-4</v>
      </c>
      <c r="Y231" s="191">
        <v>7.3195299999999991E-2</v>
      </c>
      <c r="Z231" s="191">
        <v>7.2499999999999995E-2</v>
      </c>
      <c r="AA231" s="191">
        <v>5.3000000000000001E-6</v>
      </c>
      <c r="AB231" s="191">
        <v>6.8999999999999997E-4</v>
      </c>
    </row>
    <row r="232" spans="2:28" ht="58">
      <c r="B232" s="1017"/>
      <c r="C232" s="1018"/>
      <c r="D232" s="196" t="s">
        <v>399</v>
      </c>
      <c r="E232" s="99">
        <v>1.5630000000000002E-2</v>
      </c>
      <c r="Q232" s="1036"/>
      <c r="R232" s="1017"/>
      <c r="S232" s="181" t="s">
        <v>1264</v>
      </c>
      <c r="T232" s="188" t="s">
        <v>1257</v>
      </c>
      <c r="U232" s="191">
        <v>0.22151000000000001</v>
      </c>
      <c r="V232" s="191">
        <v>0.22040000000000001</v>
      </c>
      <c r="W232" s="191">
        <v>1.0000000000000001E-5</v>
      </c>
      <c r="X232" s="191">
        <v>1.1000000000000001E-3</v>
      </c>
      <c r="Y232" s="191">
        <v>0.11711000000000001</v>
      </c>
      <c r="Z232" s="191">
        <v>0.11600000000000001</v>
      </c>
      <c r="AA232" s="191">
        <v>1.0000000000000001E-5</v>
      </c>
      <c r="AB232" s="191">
        <v>1.1000000000000001E-3</v>
      </c>
    </row>
    <row r="233" spans="2:28" ht="29">
      <c r="B233" s="1017"/>
      <c r="C233" s="1018" t="s">
        <v>1269</v>
      </c>
      <c r="D233" s="196" t="s">
        <v>1136</v>
      </c>
      <c r="E233" s="99">
        <v>33.064489999999999</v>
      </c>
      <c r="Q233" s="1036"/>
      <c r="R233" s="1017"/>
      <c r="S233" s="181" t="s">
        <v>1260</v>
      </c>
      <c r="T233" s="188" t="s">
        <v>1257</v>
      </c>
      <c r="U233" s="191">
        <v>0.40149000000000001</v>
      </c>
      <c r="V233" s="191">
        <v>0.39948</v>
      </c>
      <c r="W233" s="191">
        <v>2.0000000000000002E-5</v>
      </c>
      <c r="X233" s="191">
        <v>1.99E-3</v>
      </c>
      <c r="Y233" s="191">
        <v>0.21225999999999998</v>
      </c>
      <c r="Z233" s="191">
        <v>0.21024999999999999</v>
      </c>
      <c r="AA233" s="191">
        <v>2.0000000000000002E-5</v>
      </c>
      <c r="AB233" s="191">
        <v>1.99E-3</v>
      </c>
    </row>
    <row r="234" spans="2:28" ht="29">
      <c r="B234" s="1017"/>
      <c r="C234" s="1018"/>
      <c r="D234" s="196" t="s">
        <v>399</v>
      </c>
      <c r="E234" s="99">
        <v>9.0900000000000009E-3</v>
      </c>
      <c r="Q234" s="1037"/>
      <c r="R234" s="1038"/>
      <c r="S234" s="186" t="s">
        <v>1266</v>
      </c>
      <c r="T234" s="189" t="s">
        <v>1257</v>
      </c>
      <c r="U234" s="191">
        <v>0.55376000000000003</v>
      </c>
      <c r="V234" s="191">
        <v>0.55100000000000005</v>
      </c>
      <c r="W234" s="191">
        <v>2.0000000000000002E-5</v>
      </c>
      <c r="X234" s="191">
        <v>2.7399999999999998E-3</v>
      </c>
      <c r="Y234" s="191">
        <v>0.29276000000000002</v>
      </c>
      <c r="Z234" s="191">
        <v>0.28999999999999998</v>
      </c>
      <c r="AA234" s="191">
        <v>2.0000000000000002E-5</v>
      </c>
      <c r="AB234" s="191">
        <v>2.7399999999999998E-3</v>
      </c>
    </row>
    <row r="235" spans="2:28">
      <c r="B235" s="180"/>
      <c r="C235" s="194"/>
      <c r="D235" s="194"/>
      <c r="E235" s="194"/>
    </row>
    <row r="236" spans="2:28">
      <c r="B236" s="180"/>
      <c r="C236" s="194"/>
      <c r="D236" s="194"/>
      <c r="E236" s="194"/>
    </row>
    <row r="237" spans="2:28" ht="16.5">
      <c r="B237" s="180"/>
      <c r="C237" s="194"/>
      <c r="D237" s="194"/>
      <c r="E237" s="194"/>
      <c r="Q237" s="195" t="s">
        <v>1129</v>
      </c>
      <c r="R237" s="195" t="s">
        <v>1215</v>
      </c>
      <c r="S237" s="195" t="s">
        <v>860</v>
      </c>
      <c r="T237" s="196" t="s">
        <v>1131</v>
      </c>
      <c r="U237" s="196" t="s">
        <v>1132</v>
      </c>
      <c r="V237" s="196" t="s">
        <v>1133</v>
      </c>
      <c r="W237" s="196" t="s">
        <v>1134</v>
      </c>
    </row>
    <row r="238" spans="2:28" ht="16.5">
      <c r="B238" s="93" t="s">
        <v>1129</v>
      </c>
      <c r="C238" s="195" t="s">
        <v>1130</v>
      </c>
      <c r="D238" s="195" t="s">
        <v>860</v>
      </c>
      <c r="E238" s="196" t="s">
        <v>1131</v>
      </c>
      <c r="Q238" s="1018" t="s">
        <v>498</v>
      </c>
      <c r="R238" s="196" t="s">
        <v>1270</v>
      </c>
      <c r="S238" s="196" t="s">
        <v>1257</v>
      </c>
      <c r="T238" s="288">
        <v>1.8737999999999998E-2</v>
      </c>
      <c r="U238" s="288">
        <v>1.848E-2</v>
      </c>
      <c r="V238" s="288">
        <v>6.0000000000000002E-6</v>
      </c>
      <c r="W238" s="288">
        <v>2.52E-4</v>
      </c>
    </row>
    <row r="239" spans="2:28">
      <c r="B239" s="1017" t="s">
        <v>1271</v>
      </c>
      <c r="C239" s="1018" t="s">
        <v>1271</v>
      </c>
      <c r="D239" s="196" t="s">
        <v>1136</v>
      </c>
      <c r="E239" s="99">
        <v>1.1483699999999999</v>
      </c>
      <c r="Q239" s="1018"/>
      <c r="R239" s="196" t="s">
        <v>1272</v>
      </c>
      <c r="S239" s="196" t="s">
        <v>1257</v>
      </c>
      <c r="T239" s="288">
        <v>0.12951799999999999</v>
      </c>
      <c r="U239" s="288">
        <v>0.12773899999999999</v>
      </c>
      <c r="V239" s="288">
        <v>3.8000000000000002E-5</v>
      </c>
      <c r="W239" s="288">
        <v>1.7409999999999999E-3</v>
      </c>
    </row>
    <row r="240" spans="2:28">
      <c r="B240" s="1017"/>
      <c r="C240" s="1018"/>
      <c r="D240" s="196" t="s">
        <v>399</v>
      </c>
      <c r="E240" s="99">
        <v>2.1000000000000001E-4</v>
      </c>
      <c r="Q240" s="1018"/>
      <c r="R240" s="196" t="s">
        <v>1273</v>
      </c>
      <c r="S240" s="196" t="s">
        <v>1257</v>
      </c>
      <c r="T240" s="288">
        <v>0.112863</v>
      </c>
      <c r="U240" s="288">
        <v>0.111313</v>
      </c>
      <c r="V240" s="288">
        <v>3.3000000000000003E-5</v>
      </c>
      <c r="W240" s="288">
        <v>1.5169999999999999E-3</v>
      </c>
    </row>
    <row r="241" spans="2:51">
      <c r="B241" s="1017"/>
      <c r="C241" s="1018" t="s">
        <v>1274</v>
      </c>
      <c r="D241" s="196" t="s">
        <v>1136</v>
      </c>
      <c r="E241" s="99">
        <v>0.69342999999999999</v>
      </c>
    </row>
    <row r="242" spans="2:51">
      <c r="B242" s="1017"/>
      <c r="C242" s="1018"/>
      <c r="D242" s="196" t="s">
        <v>399</v>
      </c>
      <c r="E242" s="99">
        <v>2.0000000000000001E-4</v>
      </c>
    </row>
    <row r="243" spans="2:51">
      <c r="Q243" s="194"/>
      <c r="R243" s="194"/>
      <c r="S243" s="194"/>
      <c r="T243" s="1021" t="s">
        <v>342</v>
      </c>
      <c r="U243" s="1021"/>
      <c r="V243" s="1021"/>
      <c r="W243" s="1021"/>
      <c r="X243" s="1021" t="s">
        <v>339</v>
      </c>
      <c r="Y243" s="1021"/>
      <c r="Z243" s="1021"/>
      <c r="AA243" s="1021"/>
      <c r="AB243" s="1021" t="s">
        <v>311</v>
      </c>
      <c r="AC243" s="1021"/>
      <c r="AD243" s="1021"/>
      <c r="AE243" s="1021"/>
      <c r="AF243" s="1021" t="s">
        <v>1213</v>
      </c>
      <c r="AG243" s="1021"/>
      <c r="AH243" s="1021"/>
      <c r="AI243" s="1021"/>
      <c r="AJ243" s="1021" t="s">
        <v>1214</v>
      </c>
      <c r="AK243" s="1021"/>
      <c r="AL243" s="1021"/>
      <c r="AM243" s="1021"/>
      <c r="AN243" s="194"/>
      <c r="AO243" s="194"/>
      <c r="AP243" s="194"/>
      <c r="AQ243" s="194"/>
      <c r="AR243" s="194"/>
      <c r="AS243" s="194"/>
      <c r="AT243" s="194"/>
      <c r="AU243" s="194"/>
      <c r="AV243" s="194"/>
      <c r="AW243" s="194"/>
      <c r="AX243" s="194"/>
      <c r="AY243" s="194"/>
    </row>
    <row r="244" spans="2:51" ht="16.5">
      <c r="Q244" s="195" t="s">
        <v>1129</v>
      </c>
      <c r="R244" s="195" t="s">
        <v>1215</v>
      </c>
      <c r="S244" s="195" t="s">
        <v>860</v>
      </c>
      <c r="T244" s="196" t="s">
        <v>1131</v>
      </c>
      <c r="U244" s="196" t="s">
        <v>1132</v>
      </c>
      <c r="V244" s="196" t="s">
        <v>1133</v>
      </c>
      <c r="W244" s="196" t="s">
        <v>1134</v>
      </c>
      <c r="X244" s="196" t="s">
        <v>1131</v>
      </c>
      <c r="Y244" s="196" t="s">
        <v>1132</v>
      </c>
      <c r="Z244" s="196" t="s">
        <v>1133</v>
      </c>
      <c r="AA244" s="196" t="s">
        <v>1134</v>
      </c>
      <c r="AB244" s="196" t="s">
        <v>1131</v>
      </c>
      <c r="AC244" s="196" t="s">
        <v>1132</v>
      </c>
      <c r="AD244" s="196" t="s">
        <v>1133</v>
      </c>
      <c r="AE244" s="196" t="s">
        <v>1134</v>
      </c>
      <c r="AF244" s="196" t="s">
        <v>1131</v>
      </c>
      <c r="AG244" s="196" t="s">
        <v>1132</v>
      </c>
      <c r="AH244" s="196" t="s">
        <v>1133</v>
      </c>
      <c r="AI244" s="196" t="s">
        <v>1134</v>
      </c>
      <c r="AJ244" s="196" t="s">
        <v>1131</v>
      </c>
      <c r="AK244" s="196" t="s">
        <v>1132</v>
      </c>
      <c r="AL244" s="196" t="s">
        <v>1133</v>
      </c>
      <c r="AM244" s="196" t="s">
        <v>1134</v>
      </c>
      <c r="AN244" s="194"/>
      <c r="AO244" s="194"/>
      <c r="AP244" s="194"/>
      <c r="AQ244" s="194"/>
      <c r="AR244" s="194"/>
      <c r="AS244" s="194"/>
      <c r="AT244" s="194"/>
      <c r="AU244" s="194"/>
      <c r="AV244" s="194"/>
      <c r="AW244" s="194"/>
      <c r="AX244" s="194"/>
      <c r="AY244" s="194"/>
    </row>
    <row r="245" spans="2:51">
      <c r="Q245" s="1018" t="s">
        <v>1216</v>
      </c>
      <c r="R245" s="1018" t="s">
        <v>1217</v>
      </c>
      <c r="S245" s="196" t="s">
        <v>485</v>
      </c>
      <c r="T245" s="197">
        <v>0.11008999999999999</v>
      </c>
      <c r="U245" s="197">
        <v>0.10825</v>
      </c>
      <c r="V245" s="197">
        <v>4.3200000000000001E-6</v>
      </c>
      <c r="W245" s="197">
        <v>1.8400000000000001E-3</v>
      </c>
      <c r="X245" s="197">
        <v>0.13975000000000001</v>
      </c>
      <c r="Y245" s="197">
        <v>0.13905000000000001</v>
      </c>
      <c r="Z245" s="197">
        <v>3.2000000000000003E-4</v>
      </c>
      <c r="AA245" s="197">
        <v>3.8000000000000002E-4</v>
      </c>
      <c r="AB245" s="197">
        <v>0.13958000000000001</v>
      </c>
      <c r="AC245" s="197">
        <v>0.13886999999999999</v>
      </c>
      <c r="AD245" s="197">
        <v>3.2000000000000003E-4</v>
      </c>
      <c r="AE245" s="197">
        <v>3.8999999999999999E-4</v>
      </c>
      <c r="AF245" s="206" t="s">
        <v>1218</v>
      </c>
      <c r="AG245" s="206" t="s">
        <v>1218</v>
      </c>
      <c r="AH245" s="206" t="s">
        <v>1218</v>
      </c>
      <c r="AI245" s="206" t="s">
        <v>1218</v>
      </c>
      <c r="AJ245" s="206">
        <v>5.2350000000000001E-2</v>
      </c>
      <c r="AK245" s="206">
        <v>5.194E-2</v>
      </c>
      <c r="AL245" s="206">
        <v>1.2999999999999999E-4</v>
      </c>
      <c r="AM245" s="206">
        <v>2.7999999999999998E-4</v>
      </c>
      <c r="AN245" s="194"/>
      <c r="AO245" s="194"/>
      <c r="AP245" s="194"/>
      <c r="AQ245" s="194"/>
      <c r="AR245" s="194"/>
      <c r="AS245" s="194"/>
      <c r="AT245" s="194"/>
      <c r="AU245" s="194"/>
      <c r="AV245" s="194"/>
      <c r="AW245" s="194"/>
      <c r="AX245" s="194"/>
      <c r="AY245" s="194"/>
    </row>
    <row r="246" spans="2:51">
      <c r="Q246" s="1018"/>
      <c r="R246" s="1018"/>
      <c r="S246" s="196" t="s">
        <v>1220</v>
      </c>
      <c r="T246" s="197">
        <v>0.17719000000000001</v>
      </c>
      <c r="U246" s="197">
        <v>0.17421</v>
      </c>
      <c r="V246" s="197">
        <v>1.0000000000000001E-5</v>
      </c>
      <c r="W246" s="197">
        <v>2.97E-3</v>
      </c>
      <c r="X246" s="197">
        <v>0.22490000000000002</v>
      </c>
      <c r="Y246" s="197">
        <v>0.22378000000000001</v>
      </c>
      <c r="Z246" s="197">
        <v>5.1000000000000004E-4</v>
      </c>
      <c r="AA246" s="197">
        <v>6.0999999999999997E-4</v>
      </c>
      <c r="AB246" s="197">
        <v>0.22463</v>
      </c>
      <c r="AC246" s="197">
        <v>0.22348999999999999</v>
      </c>
      <c r="AD246" s="197">
        <v>5.1000000000000004E-4</v>
      </c>
      <c r="AE246" s="197">
        <v>6.3000000000000003E-4</v>
      </c>
      <c r="AF246" s="206" t="s">
        <v>1218</v>
      </c>
      <c r="AG246" s="206" t="s">
        <v>1218</v>
      </c>
      <c r="AH246" s="206" t="s">
        <v>1218</v>
      </c>
      <c r="AI246" s="206" t="s">
        <v>1218</v>
      </c>
      <c r="AJ246" s="206">
        <v>8.4250000000000005E-2</v>
      </c>
      <c r="AK246" s="206">
        <v>8.3589999999999998E-2</v>
      </c>
      <c r="AL246" s="206">
        <v>2.1000000000000001E-4</v>
      </c>
      <c r="AM246" s="206">
        <v>4.4999999999999999E-4</v>
      </c>
      <c r="AN246" s="194"/>
      <c r="AO246" s="194"/>
      <c r="AP246" s="194"/>
      <c r="AQ246" s="194"/>
      <c r="AR246" s="194"/>
      <c r="AS246" s="194"/>
      <c r="AT246" s="194"/>
      <c r="AU246" s="194"/>
      <c r="AV246" s="194"/>
      <c r="AW246" s="194"/>
      <c r="AX246" s="194"/>
      <c r="AY246" s="194"/>
    </row>
    <row r="247" spans="2:51">
      <c r="Q247" s="1018"/>
      <c r="R247" s="1018" t="s">
        <v>1221</v>
      </c>
      <c r="S247" s="196" t="s">
        <v>485</v>
      </c>
      <c r="T247" s="197">
        <v>0.13449</v>
      </c>
      <c r="U247" s="197">
        <v>0.13264999999999999</v>
      </c>
      <c r="V247" s="197">
        <v>4.3200000000000001E-6</v>
      </c>
      <c r="W247" s="197">
        <v>1.8400000000000001E-3</v>
      </c>
      <c r="X247" s="197">
        <v>0.15537999999999999</v>
      </c>
      <c r="Y247" s="197">
        <v>0.15468000000000001</v>
      </c>
      <c r="Z247" s="197">
        <v>3.2000000000000003E-4</v>
      </c>
      <c r="AA247" s="197">
        <v>3.8000000000000002E-4</v>
      </c>
      <c r="AB247" s="197">
        <v>0.15240999999999999</v>
      </c>
      <c r="AC247" s="197">
        <v>0.15154999999999999</v>
      </c>
      <c r="AD247" s="197">
        <v>2.7E-4</v>
      </c>
      <c r="AE247" s="197">
        <v>5.9000000000000003E-4</v>
      </c>
      <c r="AF247" s="206">
        <v>7.3470000000000008E-2</v>
      </c>
      <c r="AG247" s="206">
        <v>7.2950000000000001E-2</v>
      </c>
      <c r="AH247" s="206">
        <v>2.0000000000000001E-4</v>
      </c>
      <c r="AI247" s="206">
        <v>3.2000000000000003E-4</v>
      </c>
      <c r="AJ247" s="206">
        <v>4.7880000000000006E-2</v>
      </c>
      <c r="AK247" s="206">
        <v>4.7500000000000001E-2</v>
      </c>
      <c r="AL247" s="206">
        <v>1.2E-4</v>
      </c>
      <c r="AM247" s="206">
        <v>2.5999999999999998E-4</v>
      </c>
      <c r="AN247" s="194"/>
      <c r="AO247" s="194"/>
      <c r="AP247" s="194"/>
      <c r="AQ247" s="194"/>
      <c r="AR247" s="194"/>
      <c r="AS247" s="194"/>
      <c r="AT247" s="194"/>
      <c r="AU247" s="194"/>
      <c r="AV247" s="194"/>
      <c r="AW247" s="194"/>
      <c r="AX247" s="194"/>
      <c r="AY247" s="194"/>
    </row>
    <row r="248" spans="2:51">
      <c r="Q248" s="1018"/>
      <c r="R248" s="1018"/>
      <c r="S248" s="196" t="s">
        <v>1220</v>
      </c>
      <c r="T248" s="197">
        <v>0.21647000000000002</v>
      </c>
      <c r="U248" s="197">
        <v>0.21349000000000001</v>
      </c>
      <c r="V248" s="197">
        <v>1.0000000000000001E-5</v>
      </c>
      <c r="W248" s="197">
        <v>2.97E-3</v>
      </c>
      <c r="X248" s="197">
        <v>0.25006</v>
      </c>
      <c r="Y248" s="197">
        <v>0.24893999999999999</v>
      </c>
      <c r="Z248" s="197">
        <v>5.1000000000000004E-4</v>
      </c>
      <c r="AA248" s="197">
        <v>6.0999999999999997E-4</v>
      </c>
      <c r="AB248" s="197">
        <v>0.24528</v>
      </c>
      <c r="AC248" s="197">
        <v>0.24389</v>
      </c>
      <c r="AD248" s="197">
        <v>4.4000000000000002E-4</v>
      </c>
      <c r="AE248" s="197">
        <v>9.5E-4</v>
      </c>
      <c r="AF248" s="206">
        <v>0.11823</v>
      </c>
      <c r="AG248" s="206">
        <v>0.1174</v>
      </c>
      <c r="AH248" s="206">
        <v>3.2000000000000003E-4</v>
      </c>
      <c r="AI248" s="206">
        <v>5.1000000000000004E-4</v>
      </c>
      <c r="AJ248" s="206">
        <v>7.7039999999999983E-2</v>
      </c>
      <c r="AK248" s="206">
        <v>7.6439999999999994E-2</v>
      </c>
      <c r="AL248" s="206">
        <v>1.9000000000000001E-4</v>
      </c>
      <c r="AM248" s="206">
        <v>4.0999999999999999E-4</v>
      </c>
      <c r="AN248" s="194"/>
      <c r="AO248" s="194"/>
      <c r="AP248" s="194"/>
      <c r="AQ248" s="194"/>
      <c r="AR248" s="194"/>
      <c r="AS248" s="194"/>
      <c r="AT248" s="194"/>
      <c r="AU248" s="194"/>
      <c r="AV248" s="194"/>
      <c r="AW248" s="194"/>
      <c r="AX248" s="194"/>
      <c r="AY248" s="194"/>
    </row>
    <row r="249" spans="2:51">
      <c r="Q249" s="1018"/>
      <c r="R249" s="1018" t="s">
        <v>1222</v>
      </c>
      <c r="S249" s="196" t="s">
        <v>485</v>
      </c>
      <c r="T249" s="197">
        <v>0.14691000000000001</v>
      </c>
      <c r="U249" s="197">
        <v>0.14507</v>
      </c>
      <c r="V249" s="197">
        <v>4.3200000000000001E-6</v>
      </c>
      <c r="W249" s="197">
        <v>1.8400000000000001E-3</v>
      </c>
      <c r="X249" s="197">
        <v>0.18007999999999999</v>
      </c>
      <c r="Y249" s="197">
        <v>0.17938000000000001</v>
      </c>
      <c r="Z249" s="197">
        <v>3.2000000000000003E-4</v>
      </c>
      <c r="AA249" s="197">
        <v>3.8000000000000002E-4</v>
      </c>
      <c r="AB249" s="197">
        <v>0.16361999999999999</v>
      </c>
      <c r="AC249" s="197">
        <v>0.16234999999999999</v>
      </c>
      <c r="AD249" s="197">
        <v>1.6000000000000001E-4</v>
      </c>
      <c r="AE249" s="197">
        <v>1.1100000000000001E-3</v>
      </c>
      <c r="AF249" s="206">
        <v>0.10104</v>
      </c>
      <c r="AG249" s="206">
        <v>0.10037</v>
      </c>
      <c r="AH249" s="206">
        <v>2.9E-4</v>
      </c>
      <c r="AI249" s="206">
        <v>3.8000000000000002E-4</v>
      </c>
      <c r="AJ249" s="206">
        <v>5.7719999999999994E-2</v>
      </c>
      <c r="AK249" s="206">
        <v>5.7259999999999998E-2</v>
      </c>
      <c r="AL249" s="206">
        <v>1.4999999999999999E-4</v>
      </c>
      <c r="AM249" s="206">
        <v>3.1E-4</v>
      </c>
      <c r="AN249" s="194"/>
      <c r="AO249" s="194"/>
      <c r="AP249" s="194"/>
      <c r="AQ249" s="194"/>
      <c r="AR249" s="194"/>
      <c r="AS249" s="194"/>
      <c r="AT249" s="194"/>
      <c r="AU249" s="194"/>
      <c r="AV249" s="194"/>
      <c r="AW249" s="194"/>
      <c r="AX249" s="194"/>
      <c r="AY249" s="194"/>
    </row>
    <row r="250" spans="2:51">
      <c r="Q250" s="1018"/>
      <c r="R250" s="1018"/>
      <c r="S250" s="196" t="s">
        <v>1220</v>
      </c>
      <c r="T250" s="197">
        <v>0.23644000000000001</v>
      </c>
      <c r="U250" s="197">
        <v>0.23346</v>
      </c>
      <c r="V250" s="197">
        <v>1.0000000000000001E-5</v>
      </c>
      <c r="W250" s="197">
        <v>2.97E-3</v>
      </c>
      <c r="X250" s="197">
        <v>0.2898</v>
      </c>
      <c r="Y250" s="197">
        <v>0.28867999999999999</v>
      </c>
      <c r="Z250" s="197">
        <v>5.1000000000000004E-4</v>
      </c>
      <c r="AA250" s="197">
        <v>6.0999999999999997E-4</v>
      </c>
      <c r="AB250" s="197">
        <v>0.26332</v>
      </c>
      <c r="AC250" s="197">
        <v>0.26128000000000001</v>
      </c>
      <c r="AD250" s="197">
        <v>2.5999999999999998E-4</v>
      </c>
      <c r="AE250" s="197">
        <v>1.7799999999999999E-3</v>
      </c>
      <c r="AF250" s="206">
        <v>0.16259999999999999</v>
      </c>
      <c r="AG250" s="206">
        <v>0.16152</v>
      </c>
      <c r="AH250" s="206">
        <v>4.6999999999999999E-4</v>
      </c>
      <c r="AI250" s="206">
        <v>6.0999999999999997E-4</v>
      </c>
      <c r="AJ250" s="206">
        <v>9.287999999999999E-2</v>
      </c>
      <c r="AK250" s="206">
        <v>9.2149999999999996E-2</v>
      </c>
      <c r="AL250" s="206">
        <v>2.3000000000000001E-4</v>
      </c>
      <c r="AM250" s="206">
        <v>5.0000000000000001E-4</v>
      </c>
      <c r="AN250" s="194"/>
      <c r="AO250" s="194"/>
      <c r="AP250" s="194"/>
      <c r="AQ250" s="194"/>
      <c r="AR250" s="194"/>
      <c r="AS250" s="194"/>
      <c r="AT250" s="194"/>
      <c r="AU250" s="194"/>
      <c r="AV250" s="194"/>
      <c r="AW250" s="194"/>
      <c r="AX250" s="194"/>
      <c r="AY250" s="194"/>
    </row>
    <row r="251" spans="2:51">
      <c r="Q251" s="1018"/>
      <c r="R251" s="1018" t="s">
        <v>1224</v>
      </c>
      <c r="S251" s="196" t="s">
        <v>485</v>
      </c>
      <c r="T251" s="197">
        <v>0.16533</v>
      </c>
      <c r="U251" s="197">
        <v>0.16349</v>
      </c>
      <c r="V251" s="197">
        <v>4.3200000000000001E-6</v>
      </c>
      <c r="W251" s="197">
        <v>1.8400000000000001E-3</v>
      </c>
      <c r="X251" s="197">
        <v>0.20791999999999999</v>
      </c>
      <c r="Y251" s="197">
        <v>0.20721999999999999</v>
      </c>
      <c r="Z251" s="197">
        <v>3.2000000000000003E-4</v>
      </c>
      <c r="AA251" s="197">
        <v>3.8000000000000002E-4</v>
      </c>
      <c r="AB251" s="197">
        <v>0.17537</v>
      </c>
      <c r="AC251" s="197">
        <v>0.17379</v>
      </c>
      <c r="AD251" s="197">
        <v>8.0000000000000007E-5</v>
      </c>
      <c r="AE251" s="197">
        <v>1.5E-3</v>
      </c>
      <c r="AF251" s="206">
        <v>0.11448000000000001</v>
      </c>
      <c r="AG251" s="206">
        <v>0.11371000000000001</v>
      </c>
      <c r="AH251" s="206">
        <v>3.2000000000000003E-4</v>
      </c>
      <c r="AI251" s="206">
        <v>4.4999999999999999E-4</v>
      </c>
      <c r="AJ251" s="206">
        <v>4.6589999999999999E-2</v>
      </c>
      <c r="AK251" s="206">
        <v>4.6219999999999997E-2</v>
      </c>
      <c r="AL251" s="206">
        <v>1.2E-4</v>
      </c>
      <c r="AM251" s="206">
        <v>2.5000000000000001E-4</v>
      </c>
      <c r="AN251" s="194"/>
      <c r="AO251" s="194"/>
      <c r="AP251" s="194"/>
      <c r="AQ251" s="194"/>
      <c r="AR251" s="194"/>
      <c r="AS251" s="194"/>
      <c r="AT251" s="194"/>
      <c r="AU251" s="194"/>
      <c r="AV251" s="194"/>
      <c r="AW251" s="194"/>
      <c r="AX251" s="194"/>
      <c r="AY251" s="194"/>
    </row>
    <row r="252" spans="2:51">
      <c r="Q252" s="1018"/>
      <c r="R252" s="1018"/>
      <c r="S252" s="196" t="s">
        <v>1220</v>
      </c>
      <c r="T252" s="197">
        <v>0.2661</v>
      </c>
      <c r="U252" s="197">
        <v>0.26312000000000002</v>
      </c>
      <c r="V252" s="197">
        <v>1.0000000000000001E-5</v>
      </c>
      <c r="W252" s="197">
        <v>2.97E-3</v>
      </c>
      <c r="X252" s="197">
        <v>0.33461000000000002</v>
      </c>
      <c r="Y252" s="197">
        <v>0.33349000000000001</v>
      </c>
      <c r="Z252" s="197">
        <v>5.1000000000000004E-4</v>
      </c>
      <c r="AA252" s="197">
        <v>6.0999999999999997E-4</v>
      </c>
      <c r="AB252" s="197">
        <v>0.28223000000000004</v>
      </c>
      <c r="AC252" s="197">
        <v>0.27968999999999999</v>
      </c>
      <c r="AD252" s="197">
        <v>1.2999999999999999E-4</v>
      </c>
      <c r="AE252" s="197">
        <v>2.4099999999999998E-3</v>
      </c>
      <c r="AF252" s="206">
        <v>0.18426000000000001</v>
      </c>
      <c r="AG252" s="206">
        <v>0.18301000000000001</v>
      </c>
      <c r="AH252" s="206">
        <v>5.1999999999999995E-4</v>
      </c>
      <c r="AI252" s="206">
        <v>7.2999999999999996E-4</v>
      </c>
      <c r="AJ252" s="206">
        <v>7.4969999999999995E-2</v>
      </c>
      <c r="AK252" s="206">
        <v>7.4380000000000002E-2</v>
      </c>
      <c r="AL252" s="206">
        <v>1.9000000000000001E-4</v>
      </c>
      <c r="AM252" s="206">
        <v>4.0000000000000002E-4</v>
      </c>
      <c r="AN252" s="194"/>
      <c r="AO252" s="194"/>
      <c r="AP252" s="194"/>
      <c r="AQ252" s="194"/>
      <c r="AR252" s="194"/>
      <c r="AS252" s="194"/>
      <c r="AT252" s="194"/>
      <c r="AU252" s="194"/>
      <c r="AV252" s="194"/>
      <c r="AW252" s="194"/>
      <c r="AX252" s="194"/>
      <c r="AY252" s="194"/>
    </row>
    <row r="253" spans="2:51">
      <c r="Q253" s="1018"/>
      <c r="R253" s="1018" t="s">
        <v>1225</v>
      </c>
      <c r="S253" s="196" t="s">
        <v>485</v>
      </c>
      <c r="T253" s="197">
        <v>0.17524999999999999</v>
      </c>
      <c r="U253" s="197">
        <v>0.17341000000000001</v>
      </c>
      <c r="V253" s="197">
        <v>4.3200000000000001E-6</v>
      </c>
      <c r="W253" s="197">
        <v>1.8400000000000001E-3</v>
      </c>
      <c r="X253" s="197">
        <v>0.23658999999999999</v>
      </c>
      <c r="Y253" s="197">
        <v>0.23588999999999999</v>
      </c>
      <c r="Z253" s="197">
        <v>3.2000000000000003E-4</v>
      </c>
      <c r="AA253" s="197">
        <v>3.8000000000000002E-4</v>
      </c>
      <c r="AB253" s="197">
        <v>0.18909000000000001</v>
      </c>
      <c r="AC253" s="197">
        <v>0.1875</v>
      </c>
      <c r="AD253" s="197">
        <v>8.0000000000000007E-5</v>
      </c>
      <c r="AE253" s="197">
        <v>1.5100000000000001E-3</v>
      </c>
      <c r="AF253" s="206">
        <v>0.12417</v>
      </c>
      <c r="AG253" s="206">
        <v>0.12335</v>
      </c>
      <c r="AH253" s="206">
        <v>3.5E-4</v>
      </c>
      <c r="AI253" s="206">
        <v>4.6999999999999999E-4</v>
      </c>
      <c r="AJ253" s="206" t="s">
        <v>1218</v>
      </c>
      <c r="AK253" s="206" t="s">
        <v>1218</v>
      </c>
      <c r="AL253" s="206" t="s">
        <v>1218</v>
      </c>
      <c r="AM253" s="206" t="s">
        <v>1218</v>
      </c>
      <c r="AN253" s="194"/>
      <c r="AO253" s="194"/>
      <c r="AP253" s="194"/>
      <c r="AQ253" s="194"/>
      <c r="AR253" s="194"/>
      <c r="AS253" s="194"/>
      <c r="AT253" s="194"/>
      <c r="AU253" s="194"/>
      <c r="AV253" s="194"/>
      <c r="AW253" s="194"/>
      <c r="AX253" s="194"/>
      <c r="AY253" s="194"/>
    </row>
    <row r="254" spans="2:51">
      <c r="Q254" s="1018"/>
      <c r="R254" s="1018"/>
      <c r="S254" s="196" t="s">
        <v>1220</v>
      </c>
      <c r="T254" s="197">
        <v>0.28205999999999998</v>
      </c>
      <c r="U254" s="197">
        <v>0.27907999999999999</v>
      </c>
      <c r="V254" s="197">
        <v>1.0000000000000001E-5</v>
      </c>
      <c r="W254" s="197">
        <v>2.97E-3</v>
      </c>
      <c r="X254" s="197">
        <v>0.38075000000000003</v>
      </c>
      <c r="Y254" s="197">
        <v>0.37963000000000002</v>
      </c>
      <c r="Z254" s="197">
        <v>5.1000000000000004E-4</v>
      </c>
      <c r="AA254" s="197">
        <v>6.0999999999999997E-4</v>
      </c>
      <c r="AB254" s="197">
        <v>0.30431999999999998</v>
      </c>
      <c r="AC254" s="197">
        <v>0.30175999999999997</v>
      </c>
      <c r="AD254" s="197">
        <v>1.2E-4</v>
      </c>
      <c r="AE254" s="197">
        <v>2.4399999999999999E-3</v>
      </c>
      <c r="AF254" s="206">
        <v>0.19983999999999999</v>
      </c>
      <c r="AG254" s="206">
        <v>0.19850999999999999</v>
      </c>
      <c r="AH254" s="206">
        <v>5.6999999999999998E-4</v>
      </c>
      <c r="AI254" s="206">
        <v>7.6000000000000004E-4</v>
      </c>
      <c r="AJ254" s="206" t="s">
        <v>1218</v>
      </c>
      <c r="AK254" s="206" t="s">
        <v>1218</v>
      </c>
      <c r="AL254" s="206" t="s">
        <v>1218</v>
      </c>
      <c r="AM254" s="206" t="s">
        <v>1218</v>
      </c>
      <c r="AN254" s="194"/>
      <c r="AO254" s="194"/>
      <c r="AP254" s="194"/>
      <c r="AQ254" s="194"/>
      <c r="AR254" s="194"/>
      <c r="AS254" s="194"/>
      <c r="AT254" s="194"/>
      <c r="AU254" s="194"/>
      <c r="AV254" s="194"/>
      <c r="AW254" s="194"/>
      <c r="AX254" s="194"/>
      <c r="AY254" s="194"/>
    </row>
    <row r="255" spans="2:51">
      <c r="Q255" s="1018"/>
      <c r="R255" s="1018" t="s">
        <v>1226</v>
      </c>
      <c r="S255" s="196" t="s">
        <v>485</v>
      </c>
      <c r="T255" s="197">
        <v>0.21285999999999999</v>
      </c>
      <c r="U255" s="197">
        <v>0.21102000000000001</v>
      </c>
      <c r="V255" s="197">
        <v>4.3200000000000001E-6</v>
      </c>
      <c r="W255" s="197">
        <v>1.8400000000000001E-3</v>
      </c>
      <c r="X255" s="197">
        <v>0.33566000000000001</v>
      </c>
      <c r="Y255" s="197">
        <v>0.33495999999999998</v>
      </c>
      <c r="Z255" s="197">
        <v>3.2000000000000003E-4</v>
      </c>
      <c r="AA255" s="197">
        <v>3.8000000000000002E-4</v>
      </c>
      <c r="AB255" s="197">
        <v>0.26918999999999998</v>
      </c>
      <c r="AC255" s="197">
        <v>0.26787</v>
      </c>
      <c r="AD255" s="197">
        <v>1.4999999999999999E-4</v>
      </c>
      <c r="AE255" s="197">
        <v>1.17E-3</v>
      </c>
      <c r="AF255" s="206">
        <v>0.14588000000000001</v>
      </c>
      <c r="AG255" s="206">
        <v>0.14491999999999999</v>
      </c>
      <c r="AH255" s="206">
        <v>4.2000000000000002E-4</v>
      </c>
      <c r="AI255" s="206">
        <v>5.4000000000000001E-4</v>
      </c>
      <c r="AJ255" s="206">
        <v>7.0269999999999999E-2</v>
      </c>
      <c r="AK255" s="206">
        <v>6.9709999999999994E-2</v>
      </c>
      <c r="AL255" s="206">
        <v>1.8000000000000001E-4</v>
      </c>
      <c r="AM255" s="206">
        <v>3.8000000000000002E-4</v>
      </c>
      <c r="AN255" s="194"/>
      <c r="AO255" s="194"/>
      <c r="AP255" s="194"/>
      <c r="AQ255" s="194"/>
      <c r="AR255" s="194"/>
      <c r="AS255" s="194"/>
      <c r="AT255" s="194"/>
      <c r="AU255" s="194"/>
      <c r="AV255" s="194"/>
      <c r="AW255" s="194"/>
      <c r="AX255" s="194"/>
      <c r="AY255" s="194"/>
    </row>
    <row r="256" spans="2:51">
      <c r="Q256" s="1018"/>
      <c r="R256" s="1018"/>
      <c r="S256" s="196" t="s">
        <v>1220</v>
      </c>
      <c r="T256" s="197">
        <v>0.34258</v>
      </c>
      <c r="U256" s="197">
        <v>0.33960000000000001</v>
      </c>
      <c r="V256" s="197">
        <v>1.0000000000000001E-5</v>
      </c>
      <c r="W256" s="197">
        <v>2.97E-3</v>
      </c>
      <c r="X256" s="197">
        <v>0.54019000000000006</v>
      </c>
      <c r="Y256" s="197">
        <v>0.53907000000000005</v>
      </c>
      <c r="Z256" s="197">
        <v>5.1000000000000004E-4</v>
      </c>
      <c r="AA256" s="197">
        <v>6.0999999999999997E-4</v>
      </c>
      <c r="AB256" s="197">
        <v>0.43321999999999999</v>
      </c>
      <c r="AC256" s="197">
        <v>0.43108999999999997</v>
      </c>
      <c r="AD256" s="197">
        <v>2.4000000000000001E-4</v>
      </c>
      <c r="AE256" s="197">
        <v>1.89E-3</v>
      </c>
      <c r="AF256" s="206">
        <v>0.23477000000000001</v>
      </c>
      <c r="AG256" s="206">
        <v>0.23322999999999999</v>
      </c>
      <c r="AH256" s="206">
        <v>6.8000000000000005E-4</v>
      </c>
      <c r="AI256" s="206">
        <v>8.5999999999999998E-4</v>
      </c>
      <c r="AJ256" s="206">
        <v>0.11309</v>
      </c>
      <c r="AK256" s="206">
        <v>0.11219</v>
      </c>
      <c r="AL256" s="206">
        <v>2.9E-4</v>
      </c>
      <c r="AM256" s="206">
        <v>6.0999999999999997E-4</v>
      </c>
      <c r="AN256" s="194"/>
      <c r="AO256" s="194"/>
      <c r="AP256" s="194"/>
      <c r="AQ256" s="194"/>
      <c r="AR256" s="194"/>
      <c r="AS256" s="194"/>
      <c r="AT256" s="194"/>
      <c r="AU256" s="194"/>
      <c r="AV256" s="194"/>
      <c r="AW256" s="194"/>
      <c r="AX256" s="194"/>
      <c r="AY256" s="194"/>
    </row>
    <row r="257" spans="17:51">
      <c r="Q257" s="1018"/>
      <c r="R257" s="1018" t="s">
        <v>1229</v>
      </c>
      <c r="S257" s="196" t="s">
        <v>485</v>
      </c>
      <c r="T257" s="197">
        <v>0.17332</v>
      </c>
      <c r="U257" s="197">
        <v>0.17147999999999999</v>
      </c>
      <c r="V257" s="197">
        <v>4.3200000000000001E-6</v>
      </c>
      <c r="W257" s="197">
        <v>1.8400000000000001E-3</v>
      </c>
      <c r="X257" s="197">
        <v>0.246</v>
      </c>
      <c r="Y257" s="197">
        <v>0.24529999999999999</v>
      </c>
      <c r="Z257" s="197">
        <v>3.2000000000000003E-4</v>
      </c>
      <c r="AA257" s="197">
        <v>3.8000000000000002E-4</v>
      </c>
      <c r="AB257" s="197">
        <v>0.23441000000000001</v>
      </c>
      <c r="AC257" s="197">
        <v>0.23352999999999999</v>
      </c>
      <c r="AD257" s="197">
        <v>2.7E-4</v>
      </c>
      <c r="AE257" s="197">
        <v>6.0999999999999997E-4</v>
      </c>
      <c r="AF257" s="206">
        <v>0.11894999999999999</v>
      </c>
      <c r="AG257" s="206">
        <v>0.11817999999999999</v>
      </c>
      <c r="AH257" s="206">
        <v>3.4000000000000002E-4</v>
      </c>
      <c r="AI257" s="206">
        <v>4.2999999999999999E-4</v>
      </c>
      <c r="AJ257" s="206">
        <v>8.9679999999999982E-2</v>
      </c>
      <c r="AK257" s="206">
        <v>8.8969999999999994E-2</v>
      </c>
      <c r="AL257" s="206">
        <v>2.3000000000000001E-4</v>
      </c>
      <c r="AM257" s="206">
        <v>4.8000000000000001E-4</v>
      </c>
      <c r="AN257" s="194"/>
      <c r="AO257" s="194"/>
      <c r="AP257" s="194"/>
      <c r="AQ257" s="194"/>
      <c r="AR257" s="194"/>
      <c r="AS257" s="194"/>
      <c r="AT257" s="194"/>
      <c r="AU257" s="194"/>
      <c r="AV257" s="194"/>
      <c r="AW257" s="194"/>
      <c r="AX257" s="194"/>
      <c r="AY257" s="194"/>
    </row>
    <row r="258" spans="17:51">
      <c r="Q258" s="1018"/>
      <c r="R258" s="1018"/>
      <c r="S258" s="196" t="s">
        <v>1220</v>
      </c>
      <c r="T258" s="197">
        <v>0.27894999999999998</v>
      </c>
      <c r="U258" s="197">
        <v>0.27596999999999999</v>
      </c>
      <c r="V258" s="197">
        <v>1.0000000000000001E-5</v>
      </c>
      <c r="W258" s="197">
        <v>2.97E-3</v>
      </c>
      <c r="X258" s="197">
        <v>0.39590000000000003</v>
      </c>
      <c r="Y258" s="197">
        <v>0.39478000000000002</v>
      </c>
      <c r="Z258" s="197">
        <v>5.1000000000000004E-4</v>
      </c>
      <c r="AA258" s="197">
        <v>6.0999999999999997E-4</v>
      </c>
      <c r="AB258" s="197">
        <v>0.37723999999999996</v>
      </c>
      <c r="AC258" s="197">
        <v>0.37581999999999999</v>
      </c>
      <c r="AD258" s="197">
        <v>4.2999999999999999E-4</v>
      </c>
      <c r="AE258" s="197">
        <v>9.8999999999999999E-4</v>
      </c>
      <c r="AF258" s="206">
        <v>0.19144</v>
      </c>
      <c r="AG258" s="206">
        <v>0.19019</v>
      </c>
      <c r="AH258" s="206">
        <v>5.5000000000000003E-4</v>
      </c>
      <c r="AI258" s="206">
        <v>6.9999999999999999E-4</v>
      </c>
      <c r="AJ258" s="206">
        <v>0.14432</v>
      </c>
      <c r="AK258" s="206">
        <v>0.14318</v>
      </c>
      <c r="AL258" s="206">
        <v>3.6000000000000002E-4</v>
      </c>
      <c r="AM258" s="206">
        <v>7.7999999999999999E-4</v>
      </c>
      <c r="AN258" s="194"/>
      <c r="AO258" s="194"/>
      <c r="AP258" s="194"/>
      <c r="AQ258" s="194"/>
      <c r="AR258" s="194"/>
      <c r="AS258" s="194"/>
      <c r="AT258" s="194"/>
      <c r="AU258" s="194"/>
      <c r="AV258" s="194"/>
      <c r="AW258" s="194"/>
      <c r="AX258" s="194"/>
      <c r="AY258" s="194"/>
    </row>
    <row r="259" spans="17:51">
      <c r="Q259" s="1018"/>
      <c r="R259" s="1018" t="s">
        <v>1230</v>
      </c>
      <c r="S259" s="196" t="s">
        <v>485</v>
      </c>
      <c r="T259" s="197">
        <v>0.20257</v>
      </c>
      <c r="U259" s="197">
        <v>0.20072999999999999</v>
      </c>
      <c r="V259" s="197">
        <v>4.3200000000000001E-6</v>
      </c>
      <c r="W259" s="197">
        <v>1.8400000000000001E-3</v>
      </c>
      <c r="X259" s="197">
        <v>0.23663000000000001</v>
      </c>
      <c r="Y259" s="197">
        <v>0.23593</v>
      </c>
      <c r="Z259" s="197">
        <v>3.2000000000000003E-4</v>
      </c>
      <c r="AA259" s="197">
        <v>3.8000000000000002E-4</v>
      </c>
      <c r="AB259" s="197">
        <v>0.20924999999999999</v>
      </c>
      <c r="AC259" s="197">
        <v>0.20762</v>
      </c>
      <c r="AD259" s="197">
        <v>6.9999999999999994E-5</v>
      </c>
      <c r="AE259" s="197">
        <v>1.56E-3</v>
      </c>
      <c r="AF259" s="206">
        <v>0.12501999999999999</v>
      </c>
      <c r="AG259" s="206">
        <v>0.12418999999999999</v>
      </c>
      <c r="AH259" s="206">
        <v>3.5E-4</v>
      </c>
      <c r="AI259" s="206">
        <v>4.8000000000000001E-4</v>
      </c>
      <c r="AJ259" s="206">
        <v>8.0329999999999999E-2</v>
      </c>
      <c r="AK259" s="206">
        <v>7.9699999999999993E-2</v>
      </c>
      <c r="AL259" s="206">
        <v>2.0000000000000001E-4</v>
      </c>
      <c r="AM259" s="206">
        <v>4.2999999999999999E-4</v>
      </c>
      <c r="AN259" s="194"/>
      <c r="AO259" s="194"/>
      <c r="AP259" s="194"/>
      <c r="AQ259" s="194"/>
      <c r="AR259" s="194"/>
      <c r="AS259" s="194"/>
      <c r="AT259" s="194"/>
      <c r="AU259" s="194"/>
      <c r="AV259" s="194"/>
      <c r="AW259" s="194"/>
      <c r="AX259" s="194"/>
      <c r="AY259" s="194"/>
    </row>
    <row r="260" spans="17:51">
      <c r="Q260" s="1018"/>
      <c r="R260" s="1018"/>
      <c r="S260" s="196" t="s">
        <v>1220</v>
      </c>
      <c r="T260" s="197">
        <v>0.32601999999999998</v>
      </c>
      <c r="U260" s="197">
        <v>0.32303999999999999</v>
      </c>
      <c r="V260" s="197">
        <v>1.0000000000000001E-5</v>
      </c>
      <c r="W260" s="197">
        <v>2.97E-3</v>
      </c>
      <c r="X260" s="197">
        <v>0.38081000000000004</v>
      </c>
      <c r="Y260" s="197">
        <v>0.37969000000000003</v>
      </c>
      <c r="Z260" s="197">
        <v>5.1000000000000004E-4</v>
      </c>
      <c r="AA260" s="197">
        <v>6.0999999999999997E-4</v>
      </c>
      <c r="AB260" s="197">
        <v>0.33674999999999999</v>
      </c>
      <c r="AC260" s="197">
        <v>0.33412999999999998</v>
      </c>
      <c r="AD260" s="197">
        <v>1.1E-4</v>
      </c>
      <c r="AE260" s="197">
        <v>2.5100000000000001E-3</v>
      </c>
      <c r="AF260" s="206">
        <v>0.20121</v>
      </c>
      <c r="AG260" s="206">
        <v>0.19986000000000001</v>
      </c>
      <c r="AH260" s="206">
        <v>5.6999999999999998E-4</v>
      </c>
      <c r="AI260" s="206">
        <v>7.7999999999999999E-4</v>
      </c>
      <c r="AJ260" s="206">
        <v>0.12928999999999999</v>
      </c>
      <c r="AK260" s="206">
        <v>0.12827</v>
      </c>
      <c r="AL260" s="206">
        <v>3.3E-4</v>
      </c>
      <c r="AM260" s="206">
        <v>6.8999999999999997E-4</v>
      </c>
      <c r="AN260" s="194"/>
      <c r="AO260" s="194"/>
      <c r="AP260" s="194"/>
      <c r="AQ260" s="194"/>
      <c r="AR260" s="194"/>
      <c r="AS260" s="194"/>
      <c r="AT260" s="194"/>
      <c r="AU260" s="194"/>
      <c r="AV260" s="194"/>
      <c r="AW260" s="194"/>
      <c r="AX260" s="194"/>
      <c r="AY260" s="194"/>
    </row>
    <row r="261" spans="17:51">
      <c r="Q261" s="1018"/>
      <c r="R261" s="1018" t="s">
        <v>1232</v>
      </c>
      <c r="S261" s="196" t="s">
        <v>485</v>
      </c>
      <c r="T261" s="197">
        <v>0.18101</v>
      </c>
      <c r="U261" s="197">
        <v>0.17917</v>
      </c>
      <c r="V261" s="197">
        <v>4.3200000000000001E-6</v>
      </c>
      <c r="W261" s="197">
        <v>1.8400000000000001E-3</v>
      </c>
      <c r="X261" s="197">
        <v>0.19939999999999999</v>
      </c>
      <c r="Y261" s="197">
        <v>0.19869999999999999</v>
      </c>
      <c r="Z261" s="197">
        <v>3.2000000000000003E-4</v>
      </c>
      <c r="AA261" s="197">
        <v>3.8000000000000002E-4</v>
      </c>
      <c r="AB261" s="197">
        <v>0.18609999999999999</v>
      </c>
      <c r="AC261" s="197">
        <v>0.18457000000000001</v>
      </c>
      <c r="AD261" s="197">
        <v>9.0000000000000006E-5</v>
      </c>
      <c r="AE261" s="197">
        <v>1.4400000000000001E-3</v>
      </c>
      <c r="AF261" s="206" t="s">
        <v>1218</v>
      </c>
      <c r="AG261" s="206" t="s">
        <v>1218</v>
      </c>
      <c r="AH261" s="206" t="s">
        <v>1218</v>
      </c>
      <c r="AI261" s="206" t="s">
        <v>1218</v>
      </c>
      <c r="AJ261" s="206">
        <v>6.4039999999999986E-2</v>
      </c>
      <c r="AK261" s="206">
        <v>6.3539999999999999E-2</v>
      </c>
      <c r="AL261" s="206">
        <v>1.6000000000000001E-4</v>
      </c>
      <c r="AM261" s="206">
        <v>3.4000000000000002E-4</v>
      </c>
      <c r="AN261" s="194"/>
      <c r="AO261" s="194"/>
      <c r="AP261" s="194"/>
      <c r="AQ261" s="194"/>
      <c r="AR261" s="194"/>
      <c r="AS261" s="194"/>
      <c r="AT261" s="194"/>
      <c r="AU261" s="194"/>
      <c r="AV261" s="194"/>
      <c r="AW261" s="194"/>
      <c r="AX261" s="194"/>
      <c r="AY261" s="194"/>
    </row>
    <row r="262" spans="17:51">
      <c r="Q262" s="1018"/>
      <c r="R262" s="1018"/>
      <c r="S262" s="196" t="s">
        <v>1220</v>
      </c>
      <c r="T262" s="197">
        <v>0.29132999999999998</v>
      </c>
      <c r="U262" s="197">
        <v>0.28835</v>
      </c>
      <c r="V262" s="197">
        <v>1.0000000000000001E-5</v>
      </c>
      <c r="W262" s="197">
        <v>2.97E-3</v>
      </c>
      <c r="X262" s="197">
        <v>0.32089000000000001</v>
      </c>
      <c r="Y262" s="197">
        <v>0.31977</v>
      </c>
      <c r="Z262" s="197">
        <v>5.1000000000000004E-4</v>
      </c>
      <c r="AA262" s="197">
        <v>6.0999999999999997E-4</v>
      </c>
      <c r="AB262" s="197">
        <v>0.29951</v>
      </c>
      <c r="AC262" s="197">
        <v>0.29704000000000003</v>
      </c>
      <c r="AD262" s="197">
        <v>1.4999999999999999E-4</v>
      </c>
      <c r="AE262" s="197">
        <v>2.32E-3</v>
      </c>
      <c r="AF262" s="206" t="s">
        <v>1218</v>
      </c>
      <c r="AG262" s="206" t="s">
        <v>1218</v>
      </c>
      <c r="AH262" s="206" t="s">
        <v>1218</v>
      </c>
      <c r="AI262" s="206" t="s">
        <v>1218</v>
      </c>
      <c r="AJ262" s="206">
        <v>0.10305999999999998</v>
      </c>
      <c r="AK262" s="206">
        <v>0.10224999999999999</v>
      </c>
      <c r="AL262" s="206">
        <v>2.5999999999999998E-4</v>
      </c>
      <c r="AM262" s="206">
        <v>5.5000000000000003E-4</v>
      </c>
      <c r="AN262" s="194"/>
      <c r="AO262" s="194"/>
      <c r="AP262" s="194"/>
      <c r="AQ262" s="194"/>
      <c r="AR262" s="194"/>
      <c r="AS262" s="194"/>
      <c r="AT262" s="194"/>
      <c r="AU262" s="194"/>
      <c r="AV262" s="194"/>
      <c r="AW262" s="194"/>
      <c r="AX262" s="194"/>
      <c r="AY262" s="194"/>
    </row>
    <row r="263" spans="17:51">
      <c r="Q263" s="194"/>
      <c r="R263" s="194"/>
      <c r="S263" s="194"/>
      <c r="T263" s="194"/>
      <c r="U263" s="194"/>
      <c r="V263" s="194"/>
      <c r="W263" s="194"/>
      <c r="X263" s="194"/>
      <c r="Y263" s="194"/>
      <c r="Z263" s="194"/>
      <c r="AA263" s="194"/>
      <c r="AB263" s="194"/>
      <c r="AC263" s="194"/>
      <c r="AD263" s="194"/>
      <c r="AE263" s="194"/>
      <c r="AF263" s="194"/>
      <c r="AG263" s="194"/>
      <c r="AH263" s="194"/>
      <c r="AI263" s="194"/>
      <c r="AJ263" s="194"/>
      <c r="AK263" s="194"/>
      <c r="AL263" s="194"/>
      <c r="AM263" s="194"/>
      <c r="AN263" s="194"/>
      <c r="AO263" s="194"/>
      <c r="AP263" s="194"/>
      <c r="AQ263" s="194"/>
      <c r="AR263" s="194"/>
      <c r="AS263" s="194"/>
      <c r="AT263" s="194"/>
      <c r="AU263" s="194"/>
      <c r="AV263" s="194"/>
      <c r="AW263" s="194"/>
      <c r="AX263" s="194"/>
      <c r="AY263" s="194"/>
    </row>
    <row r="264" spans="17:51">
      <c r="Q264" s="194"/>
      <c r="R264" s="194"/>
      <c r="S264" s="194"/>
      <c r="T264" s="194"/>
      <c r="U264" s="194"/>
      <c r="V264" s="194"/>
      <c r="W264" s="194"/>
      <c r="X264" s="194"/>
      <c r="Y264" s="194"/>
      <c r="Z264" s="194"/>
      <c r="AA264" s="194"/>
      <c r="AB264" s="194"/>
      <c r="AC264" s="194"/>
      <c r="AD264" s="194"/>
      <c r="AE264" s="194"/>
      <c r="AF264" s="194"/>
      <c r="AG264" s="194"/>
      <c r="AH264" s="194"/>
      <c r="AI264" s="194"/>
      <c r="AJ264" s="194"/>
      <c r="AK264" s="194"/>
      <c r="AL264" s="194"/>
      <c r="AM264" s="194"/>
      <c r="AN264" s="194"/>
      <c r="AO264" s="194"/>
      <c r="AP264" s="194"/>
      <c r="AQ264" s="194"/>
      <c r="AR264" s="194"/>
      <c r="AS264" s="194"/>
      <c r="AT264" s="194"/>
      <c r="AU264" s="194"/>
      <c r="AV264" s="194"/>
      <c r="AW264" s="194"/>
      <c r="AX264" s="194"/>
      <c r="AY264" s="194"/>
    </row>
    <row r="265" spans="17:51">
      <c r="Q265" s="194"/>
      <c r="R265" s="194"/>
      <c r="S265" s="194"/>
      <c r="T265" s="1021" t="s">
        <v>342</v>
      </c>
      <c r="U265" s="1021"/>
      <c r="V265" s="1021"/>
      <c r="W265" s="1021"/>
      <c r="X265" s="1021" t="s">
        <v>339</v>
      </c>
      <c r="Y265" s="1021"/>
      <c r="Z265" s="1021"/>
      <c r="AA265" s="1021"/>
      <c r="AB265" s="1021" t="s">
        <v>1234</v>
      </c>
      <c r="AC265" s="1021"/>
      <c r="AD265" s="1021"/>
      <c r="AE265" s="1021"/>
      <c r="AF265" s="1021" t="s">
        <v>343</v>
      </c>
      <c r="AG265" s="1021"/>
      <c r="AH265" s="1021"/>
      <c r="AI265" s="1021"/>
      <c r="AJ265" s="1021" t="s">
        <v>1143</v>
      </c>
      <c r="AK265" s="1021"/>
      <c r="AL265" s="1021"/>
      <c r="AM265" s="1021"/>
      <c r="AN265" s="1021" t="s">
        <v>311</v>
      </c>
      <c r="AO265" s="1021"/>
      <c r="AP265" s="1021"/>
      <c r="AQ265" s="1042"/>
      <c r="AR265" s="1039" t="s">
        <v>1213</v>
      </c>
      <c r="AS265" s="1040"/>
      <c r="AT265" s="1040"/>
      <c r="AU265" s="1041"/>
      <c r="AV265" s="1039" t="s">
        <v>1214</v>
      </c>
      <c r="AW265" s="1040"/>
      <c r="AX265" s="1040"/>
      <c r="AY265" s="1041"/>
    </row>
    <row r="266" spans="17:51" ht="16.5">
      <c r="Q266" s="195" t="s">
        <v>1129</v>
      </c>
      <c r="R266" s="195" t="s">
        <v>1215</v>
      </c>
      <c r="S266" s="195" t="s">
        <v>860</v>
      </c>
      <c r="T266" s="196" t="s">
        <v>1131</v>
      </c>
      <c r="U266" s="196" t="s">
        <v>1132</v>
      </c>
      <c r="V266" s="196" t="s">
        <v>1133</v>
      </c>
      <c r="W266" s="196" t="s">
        <v>1134</v>
      </c>
      <c r="X266" s="196" t="s">
        <v>1131</v>
      </c>
      <c r="Y266" s="196" t="s">
        <v>1132</v>
      </c>
      <c r="Z266" s="196" t="s">
        <v>1133</v>
      </c>
      <c r="AA266" s="196" t="s">
        <v>1134</v>
      </c>
      <c r="AB266" s="196" t="s">
        <v>1131</v>
      </c>
      <c r="AC266" s="196" t="s">
        <v>1132</v>
      </c>
      <c r="AD266" s="196" t="s">
        <v>1133</v>
      </c>
      <c r="AE266" s="196" t="s">
        <v>1134</v>
      </c>
      <c r="AF266" s="196" t="s">
        <v>1131</v>
      </c>
      <c r="AG266" s="196" t="s">
        <v>1132</v>
      </c>
      <c r="AH266" s="196" t="s">
        <v>1133</v>
      </c>
      <c r="AI266" s="196" t="s">
        <v>1134</v>
      </c>
      <c r="AJ266" s="196" t="s">
        <v>1131</v>
      </c>
      <c r="AK266" s="196" t="s">
        <v>1132</v>
      </c>
      <c r="AL266" s="196" t="s">
        <v>1133</v>
      </c>
      <c r="AM266" s="196" t="s">
        <v>1134</v>
      </c>
      <c r="AN266" s="196" t="s">
        <v>1131</v>
      </c>
      <c r="AO266" s="196" t="s">
        <v>1132</v>
      </c>
      <c r="AP266" s="196" t="s">
        <v>1133</v>
      </c>
      <c r="AQ266" s="196" t="s">
        <v>1134</v>
      </c>
      <c r="AR266" s="202" t="s">
        <v>1131</v>
      </c>
      <c r="AS266" s="202" t="s">
        <v>1132</v>
      </c>
      <c r="AT266" s="202" t="s">
        <v>1133</v>
      </c>
      <c r="AU266" s="203" t="s">
        <v>1134</v>
      </c>
      <c r="AV266" s="204" t="s">
        <v>1131</v>
      </c>
      <c r="AW266" s="202" t="s">
        <v>1132</v>
      </c>
      <c r="AX266" s="202" t="s">
        <v>1133</v>
      </c>
      <c r="AY266" s="205" t="s">
        <v>1134</v>
      </c>
    </row>
    <row r="267" spans="17:51">
      <c r="Q267" s="1018" t="s">
        <v>1236</v>
      </c>
      <c r="R267" s="1018" t="s">
        <v>1237</v>
      </c>
      <c r="S267" s="196" t="s">
        <v>485</v>
      </c>
      <c r="T267" s="198">
        <v>0.14208000000000001</v>
      </c>
      <c r="U267" s="198">
        <v>0.14024</v>
      </c>
      <c r="V267" s="198">
        <v>4.3200000000000001E-6</v>
      </c>
      <c r="W267" s="198">
        <v>1.8400000000000001E-3</v>
      </c>
      <c r="X267" s="198">
        <v>0.15371000000000001</v>
      </c>
      <c r="Y267" s="198">
        <v>0.15301000000000001</v>
      </c>
      <c r="Z267" s="198">
        <v>3.2000000000000003E-4</v>
      </c>
      <c r="AA267" s="198">
        <v>3.8000000000000002E-4</v>
      </c>
      <c r="AB267" s="198">
        <v>0.1052</v>
      </c>
      <c r="AC267" s="198">
        <v>0.10409</v>
      </c>
      <c r="AD267" s="198">
        <v>2.1000000000000001E-4</v>
      </c>
      <c r="AE267" s="198">
        <v>8.9999999999999998E-4</v>
      </c>
      <c r="AF267" s="200"/>
      <c r="AG267" s="200"/>
      <c r="AH267" s="200"/>
      <c r="AI267" s="200"/>
      <c r="AJ267" s="200"/>
      <c r="AK267" s="200"/>
      <c r="AL267" s="200"/>
      <c r="AM267" s="200"/>
      <c r="AN267" s="198">
        <v>0.14957999999999999</v>
      </c>
      <c r="AO267" s="198">
        <v>0.14846999999999999</v>
      </c>
      <c r="AP267" s="198">
        <v>2.1000000000000001E-4</v>
      </c>
      <c r="AQ267" s="198">
        <v>8.9999999999999998E-4</v>
      </c>
      <c r="AR267" s="206">
        <v>7.3470000000000008E-2</v>
      </c>
      <c r="AS267" s="206">
        <v>7.2950000000000001E-2</v>
      </c>
      <c r="AT267" s="206">
        <v>2.0000000000000001E-4</v>
      </c>
      <c r="AU267" s="206">
        <v>3.2000000000000003E-4</v>
      </c>
      <c r="AV267" s="206">
        <v>4.956E-2</v>
      </c>
      <c r="AW267" s="206">
        <v>4.9160000000000002E-2</v>
      </c>
      <c r="AX267" s="206">
        <v>1.2999999999999999E-4</v>
      </c>
      <c r="AY267" s="206">
        <v>2.7E-4</v>
      </c>
    </row>
    <row r="268" spans="17:51">
      <c r="Q268" s="1018"/>
      <c r="R268" s="1018"/>
      <c r="S268" s="196" t="s">
        <v>1220</v>
      </c>
      <c r="T268" s="198">
        <v>0.22868000000000002</v>
      </c>
      <c r="U268" s="198">
        <v>0.22570000000000001</v>
      </c>
      <c r="V268" s="198">
        <v>1.0000000000000001E-5</v>
      </c>
      <c r="W268" s="198">
        <v>2.97E-3</v>
      </c>
      <c r="X268" s="198">
        <v>0.24736</v>
      </c>
      <c r="Y268" s="198">
        <v>0.24623999999999999</v>
      </c>
      <c r="Z268" s="198">
        <v>5.1000000000000004E-4</v>
      </c>
      <c r="AA268" s="198">
        <v>6.0999999999999997E-4</v>
      </c>
      <c r="AB268" s="198">
        <v>0.16930000000000001</v>
      </c>
      <c r="AC268" s="198">
        <v>0.16752</v>
      </c>
      <c r="AD268" s="198">
        <v>3.3E-4</v>
      </c>
      <c r="AE268" s="198">
        <v>1.4499999999999999E-3</v>
      </c>
      <c r="AF268" s="200"/>
      <c r="AG268" s="200"/>
      <c r="AH268" s="200"/>
      <c r="AI268" s="200"/>
      <c r="AJ268" s="200"/>
      <c r="AK268" s="200"/>
      <c r="AL268" s="200"/>
      <c r="AM268" s="200"/>
      <c r="AN268" s="198">
        <v>0.24072000000000002</v>
      </c>
      <c r="AO268" s="198">
        <v>0.23894000000000001</v>
      </c>
      <c r="AP268" s="198">
        <v>3.3E-4</v>
      </c>
      <c r="AQ268" s="198">
        <v>1.4499999999999999E-3</v>
      </c>
      <c r="AR268" s="206">
        <v>0.11823</v>
      </c>
      <c r="AS268" s="206">
        <v>0.1174</v>
      </c>
      <c r="AT268" s="206">
        <v>3.2000000000000003E-4</v>
      </c>
      <c r="AU268" s="206">
        <v>5.1000000000000004E-4</v>
      </c>
      <c r="AV268" s="206">
        <v>7.9750000000000001E-2</v>
      </c>
      <c r="AW268" s="206">
        <v>7.9119999999999996E-2</v>
      </c>
      <c r="AX268" s="206">
        <v>2.0000000000000001E-4</v>
      </c>
      <c r="AY268" s="206">
        <v>4.2999999999999999E-4</v>
      </c>
    </row>
    <row r="269" spans="17:51">
      <c r="Q269" s="1018"/>
      <c r="R269" s="1018" t="s">
        <v>1239</v>
      </c>
      <c r="S269" s="196" t="s">
        <v>485</v>
      </c>
      <c r="T269" s="198">
        <v>0.17061000000000001</v>
      </c>
      <c r="U269" s="198">
        <v>0.16877</v>
      </c>
      <c r="V269" s="198">
        <v>4.3200000000000001E-6</v>
      </c>
      <c r="W269" s="198">
        <v>1.8400000000000001E-3</v>
      </c>
      <c r="X269" s="198">
        <v>0.19228000000000001</v>
      </c>
      <c r="Y269" s="198">
        <v>0.19158</v>
      </c>
      <c r="Z269" s="198">
        <v>3.2000000000000003E-4</v>
      </c>
      <c r="AA269" s="198">
        <v>3.8000000000000002E-4</v>
      </c>
      <c r="AB269" s="198">
        <v>0.10895000000000001</v>
      </c>
      <c r="AC269" s="198">
        <v>0.10764</v>
      </c>
      <c r="AD269" s="198">
        <v>1.4999999999999999E-4</v>
      </c>
      <c r="AE269" s="198">
        <v>1.16E-3</v>
      </c>
      <c r="AF269" s="198">
        <v>0.16175999999999999</v>
      </c>
      <c r="AG269" s="198">
        <v>0.15972</v>
      </c>
      <c r="AH269" s="198">
        <v>1.5900000000000001E-3</v>
      </c>
      <c r="AI269" s="198">
        <v>4.4999999999999999E-4</v>
      </c>
      <c r="AJ269" s="198">
        <v>0.18065999999999999</v>
      </c>
      <c r="AK269" s="198">
        <v>0.18015999999999999</v>
      </c>
      <c r="AL269" s="198">
        <v>5.0000000000000002E-5</v>
      </c>
      <c r="AM269" s="198">
        <v>4.4999999999999999E-4</v>
      </c>
      <c r="AN269" s="198">
        <v>0.18071000000000001</v>
      </c>
      <c r="AO269" s="198">
        <v>0.1794</v>
      </c>
      <c r="AP269" s="198">
        <v>1.4999999999999999E-4</v>
      </c>
      <c r="AQ269" s="198">
        <v>1.16E-3</v>
      </c>
      <c r="AR269" s="206">
        <v>0.10998000000000001</v>
      </c>
      <c r="AS269" s="206">
        <v>0.10924</v>
      </c>
      <c r="AT269" s="206">
        <v>3.1E-4</v>
      </c>
      <c r="AU269" s="206">
        <v>4.2999999999999999E-4</v>
      </c>
      <c r="AV269" s="206">
        <v>5.7689999999999998E-2</v>
      </c>
      <c r="AW269" s="206">
        <v>5.7230000000000003E-2</v>
      </c>
      <c r="AX269" s="206">
        <v>1.4999999999999999E-4</v>
      </c>
      <c r="AY269" s="206">
        <v>3.1E-4</v>
      </c>
    </row>
    <row r="270" spans="17:51">
      <c r="Q270" s="1018"/>
      <c r="R270" s="1018"/>
      <c r="S270" s="196" t="s">
        <v>1220</v>
      </c>
      <c r="T270" s="198">
        <v>0.27459</v>
      </c>
      <c r="U270" s="198">
        <v>0.27161000000000002</v>
      </c>
      <c r="V270" s="198">
        <v>1.0000000000000001E-5</v>
      </c>
      <c r="W270" s="198">
        <v>2.97E-3</v>
      </c>
      <c r="X270" s="198">
        <v>0.30945</v>
      </c>
      <c r="Y270" s="198">
        <v>0.30832999999999999</v>
      </c>
      <c r="Z270" s="198">
        <v>5.1000000000000004E-4</v>
      </c>
      <c r="AA270" s="198">
        <v>6.0999999999999997E-4</v>
      </c>
      <c r="AB270" s="198">
        <v>0.17534</v>
      </c>
      <c r="AC270" s="198">
        <v>0.17323</v>
      </c>
      <c r="AD270" s="198">
        <v>2.4000000000000001E-4</v>
      </c>
      <c r="AE270" s="198">
        <v>1.8699999999999999E-3</v>
      </c>
      <c r="AF270" s="198">
        <v>0.26034000000000002</v>
      </c>
      <c r="AG270" s="198">
        <v>0.25705</v>
      </c>
      <c r="AH270" s="198">
        <v>2.5699999999999998E-3</v>
      </c>
      <c r="AI270" s="198">
        <v>7.2000000000000005E-4</v>
      </c>
      <c r="AJ270" s="198">
        <v>0.29073000000000004</v>
      </c>
      <c r="AK270" s="198">
        <v>0.28993000000000002</v>
      </c>
      <c r="AL270" s="198">
        <v>8.0000000000000007E-5</v>
      </c>
      <c r="AM270" s="198">
        <v>7.2000000000000005E-4</v>
      </c>
      <c r="AN270" s="198">
        <v>0.29082000000000002</v>
      </c>
      <c r="AO270" s="198">
        <v>0.28871000000000002</v>
      </c>
      <c r="AP270" s="198">
        <v>2.4000000000000001E-4</v>
      </c>
      <c r="AQ270" s="198">
        <v>1.8699999999999999E-3</v>
      </c>
      <c r="AR270" s="206">
        <v>0.17699000000000001</v>
      </c>
      <c r="AS270" s="206">
        <v>0.17580000000000001</v>
      </c>
      <c r="AT270" s="206">
        <v>5.0000000000000001E-4</v>
      </c>
      <c r="AU270" s="206">
        <v>6.8999999999999997E-4</v>
      </c>
      <c r="AV270" s="206">
        <v>9.282E-2</v>
      </c>
      <c r="AW270" s="206">
        <v>9.2090000000000005E-2</v>
      </c>
      <c r="AX270" s="206">
        <v>2.3000000000000001E-4</v>
      </c>
      <c r="AY270" s="206">
        <v>5.0000000000000001E-4</v>
      </c>
    </row>
    <row r="271" spans="17:51">
      <c r="Q271" s="1018"/>
      <c r="R271" s="1018" t="s">
        <v>1240</v>
      </c>
      <c r="S271" s="196" t="s">
        <v>485</v>
      </c>
      <c r="T271" s="198">
        <v>0.20946999999999999</v>
      </c>
      <c r="U271" s="198">
        <v>0.20763000000000001</v>
      </c>
      <c r="V271" s="198">
        <v>4.3200000000000001E-6</v>
      </c>
      <c r="W271" s="198">
        <v>1.8400000000000001E-3</v>
      </c>
      <c r="X271" s="198">
        <v>0.28294999999999998</v>
      </c>
      <c r="Y271" s="198">
        <v>0.28225</v>
      </c>
      <c r="Z271" s="198">
        <v>3.2000000000000003E-4</v>
      </c>
      <c r="AA271" s="198">
        <v>3.8000000000000002E-4</v>
      </c>
      <c r="AB271" s="198">
        <v>0.13177</v>
      </c>
      <c r="AC271" s="198">
        <v>0.13022</v>
      </c>
      <c r="AD271" s="198">
        <v>9.0000000000000006E-5</v>
      </c>
      <c r="AE271" s="198">
        <v>1.4599999999999999E-3</v>
      </c>
      <c r="AF271" s="198">
        <v>0.23735000000000001</v>
      </c>
      <c r="AG271" s="198">
        <v>0.23530999999999999</v>
      </c>
      <c r="AH271" s="198">
        <v>1.5900000000000001E-3</v>
      </c>
      <c r="AI271" s="198">
        <v>4.4999999999999999E-4</v>
      </c>
      <c r="AJ271" s="198">
        <v>0.26590999999999998</v>
      </c>
      <c r="AK271" s="198">
        <v>0.26540999999999998</v>
      </c>
      <c r="AL271" s="198">
        <v>5.0000000000000002E-5</v>
      </c>
      <c r="AM271" s="198">
        <v>4.4999999999999999E-4</v>
      </c>
      <c r="AN271" s="198">
        <v>0.22857</v>
      </c>
      <c r="AO271" s="198">
        <v>0.22702</v>
      </c>
      <c r="AP271" s="198">
        <v>9.0000000000000006E-5</v>
      </c>
      <c r="AQ271" s="198">
        <v>1.4599999999999999E-3</v>
      </c>
      <c r="AR271" s="206">
        <v>0.12567</v>
      </c>
      <c r="AS271" s="206">
        <v>0.12483</v>
      </c>
      <c r="AT271" s="206">
        <v>3.6000000000000002E-4</v>
      </c>
      <c r="AU271" s="206">
        <v>4.8000000000000001E-4</v>
      </c>
      <c r="AV271" s="206">
        <v>7.2559999999999999E-2</v>
      </c>
      <c r="AW271" s="206">
        <v>7.1989999999999998E-2</v>
      </c>
      <c r="AX271" s="206">
        <v>1.8000000000000001E-4</v>
      </c>
      <c r="AY271" s="206">
        <v>3.8999999999999999E-4</v>
      </c>
    </row>
    <row r="272" spans="17:51">
      <c r="Q272" s="1018"/>
      <c r="R272" s="1018"/>
      <c r="S272" s="196" t="s">
        <v>1220</v>
      </c>
      <c r="T272" s="198">
        <v>0.33712999999999999</v>
      </c>
      <c r="U272" s="198">
        <v>0.33415</v>
      </c>
      <c r="V272" s="198">
        <v>1.0000000000000001E-5</v>
      </c>
      <c r="W272" s="198">
        <v>2.97E-3</v>
      </c>
      <c r="X272" s="198">
        <v>0.45535999999999999</v>
      </c>
      <c r="Y272" s="198">
        <v>0.45423999999999998</v>
      </c>
      <c r="Z272" s="198">
        <v>5.1000000000000004E-4</v>
      </c>
      <c r="AA272" s="198">
        <v>6.0999999999999997E-4</v>
      </c>
      <c r="AB272" s="198">
        <v>0.21207000000000001</v>
      </c>
      <c r="AC272" s="198">
        <v>0.20957000000000001</v>
      </c>
      <c r="AD272" s="198">
        <v>1.3999999999999999E-4</v>
      </c>
      <c r="AE272" s="198">
        <v>2.3600000000000001E-3</v>
      </c>
      <c r="AF272" s="198">
        <v>0.38198000000000004</v>
      </c>
      <c r="AG272" s="198">
        <v>0.37869000000000003</v>
      </c>
      <c r="AH272" s="198">
        <v>2.5699999999999998E-3</v>
      </c>
      <c r="AI272" s="198">
        <v>7.2000000000000005E-4</v>
      </c>
      <c r="AJ272" s="198">
        <v>0.42794000000000004</v>
      </c>
      <c r="AK272" s="198">
        <v>0.42714000000000002</v>
      </c>
      <c r="AL272" s="198">
        <v>8.0000000000000007E-5</v>
      </c>
      <c r="AM272" s="198">
        <v>7.2000000000000005E-4</v>
      </c>
      <c r="AN272" s="198">
        <v>0.36784999999999995</v>
      </c>
      <c r="AO272" s="198">
        <v>0.36535000000000001</v>
      </c>
      <c r="AP272" s="198">
        <v>1.3999999999999999E-4</v>
      </c>
      <c r="AQ272" s="198">
        <v>2.3600000000000001E-3</v>
      </c>
      <c r="AR272" s="206">
        <v>0.20224999999999999</v>
      </c>
      <c r="AS272" s="206">
        <v>0.2009</v>
      </c>
      <c r="AT272" s="206">
        <v>5.6999999999999998E-4</v>
      </c>
      <c r="AU272" s="206">
        <v>7.7999999999999999E-4</v>
      </c>
      <c r="AV272" s="206">
        <v>0.11677</v>
      </c>
      <c r="AW272" s="206">
        <v>0.11584999999999999</v>
      </c>
      <c r="AX272" s="206">
        <v>2.9E-4</v>
      </c>
      <c r="AY272" s="206">
        <v>6.3000000000000003E-4</v>
      </c>
    </row>
    <row r="273" spans="17:51">
      <c r="Q273" s="1018"/>
      <c r="R273" s="1018" t="s">
        <v>1242</v>
      </c>
      <c r="S273" s="196" t="s">
        <v>485</v>
      </c>
      <c r="T273" s="198">
        <v>0.17335999999999999</v>
      </c>
      <c r="U273" s="198">
        <v>0.17152000000000001</v>
      </c>
      <c r="V273" s="198">
        <v>4.3200000000000001E-6</v>
      </c>
      <c r="W273" s="198">
        <v>1.8400000000000001E-3</v>
      </c>
      <c r="X273" s="198">
        <v>0.18084</v>
      </c>
      <c r="Y273" s="198">
        <v>0.18013999999999999</v>
      </c>
      <c r="Z273" s="198">
        <v>3.2000000000000003E-4</v>
      </c>
      <c r="AA273" s="198">
        <v>3.8000000000000002E-4</v>
      </c>
      <c r="AB273" s="198">
        <v>0.11473</v>
      </c>
      <c r="AC273" s="198">
        <v>0.11346000000000001</v>
      </c>
      <c r="AD273" s="198">
        <v>1.6000000000000001E-4</v>
      </c>
      <c r="AE273" s="198">
        <v>1.1100000000000001E-3</v>
      </c>
      <c r="AF273" s="198">
        <v>0.17802999999999999</v>
      </c>
      <c r="AG273" s="198">
        <v>0.17599000000000001</v>
      </c>
      <c r="AH273" s="198">
        <v>1.5900000000000001E-3</v>
      </c>
      <c r="AI273" s="198">
        <v>4.4999999999999999E-4</v>
      </c>
      <c r="AJ273" s="198">
        <v>0.19900999999999999</v>
      </c>
      <c r="AK273" s="198">
        <v>0.19850999999999999</v>
      </c>
      <c r="AL273" s="198">
        <v>5.0000000000000002E-5</v>
      </c>
      <c r="AM273" s="198">
        <v>4.4999999999999999E-4</v>
      </c>
      <c r="AN273" s="198">
        <v>0.17710000000000001</v>
      </c>
      <c r="AO273" s="198">
        <v>0.17582999999999999</v>
      </c>
      <c r="AP273" s="198">
        <v>1.6000000000000001E-4</v>
      </c>
      <c r="AQ273" s="198">
        <v>1.1100000000000001E-3</v>
      </c>
      <c r="AR273" s="206">
        <v>0.11532000000000001</v>
      </c>
      <c r="AS273" s="206">
        <v>0.11454</v>
      </c>
      <c r="AT273" s="206">
        <v>3.3E-4</v>
      </c>
      <c r="AU273" s="206">
        <v>4.4999999999999999E-4</v>
      </c>
      <c r="AV273" s="206">
        <v>6.0199999999999997E-2</v>
      </c>
      <c r="AW273" s="206">
        <v>5.9729999999999998E-2</v>
      </c>
      <c r="AX273" s="206">
        <v>1.4999999999999999E-4</v>
      </c>
      <c r="AY273" s="206">
        <v>3.2000000000000003E-4</v>
      </c>
    </row>
    <row r="274" spans="17:51">
      <c r="Q274" s="1018"/>
      <c r="R274" s="1018"/>
      <c r="S274" s="196" t="s">
        <v>1220</v>
      </c>
      <c r="T274" s="198">
        <v>0.27900999999999998</v>
      </c>
      <c r="U274" s="198">
        <v>0.27603</v>
      </c>
      <c r="V274" s="198">
        <v>1.0000000000000001E-5</v>
      </c>
      <c r="W274" s="198">
        <v>2.97E-3</v>
      </c>
      <c r="X274" s="198">
        <v>0.29103000000000001</v>
      </c>
      <c r="Y274" s="198">
        <v>0.28991</v>
      </c>
      <c r="Z274" s="198">
        <v>5.1000000000000004E-4</v>
      </c>
      <c r="AA274" s="198">
        <v>6.0999999999999997E-4</v>
      </c>
      <c r="AB274" s="198">
        <v>0.18464000000000003</v>
      </c>
      <c r="AC274" s="198">
        <v>0.18259</v>
      </c>
      <c r="AD274" s="198">
        <v>2.5999999999999998E-4</v>
      </c>
      <c r="AE274" s="198">
        <v>1.7899999999999999E-3</v>
      </c>
      <c r="AF274" s="198">
        <v>0.28653000000000001</v>
      </c>
      <c r="AG274" s="198">
        <v>0.28323999999999999</v>
      </c>
      <c r="AH274" s="198">
        <v>2.5699999999999998E-3</v>
      </c>
      <c r="AI274" s="198">
        <v>7.2000000000000005E-4</v>
      </c>
      <c r="AJ274" s="198">
        <v>0.32027</v>
      </c>
      <c r="AK274" s="198">
        <v>0.31946999999999998</v>
      </c>
      <c r="AL274" s="198">
        <v>8.0000000000000007E-5</v>
      </c>
      <c r="AM274" s="198">
        <v>7.2000000000000005E-4</v>
      </c>
      <c r="AN274" s="198">
        <v>0.28502</v>
      </c>
      <c r="AO274" s="198">
        <v>0.28297</v>
      </c>
      <c r="AP274" s="198">
        <v>2.5999999999999998E-4</v>
      </c>
      <c r="AQ274" s="198">
        <v>1.7899999999999999E-3</v>
      </c>
      <c r="AR274" s="206">
        <v>0.18559</v>
      </c>
      <c r="AS274" s="206">
        <v>0.18434</v>
      </c>
      <c r="AT274" s="206">
        <v>5.2999999999999998E-4</v>
      </c>
      <c r="AU274" s="206">
        <v>7.2000000000000005E-4</v>
      </c>
      <c r="AV274" s="206">
        <v>9.6880000000000008E-2</v>
      </c>
      <c r="AW274" s="206">
        <v>9.6119999999999997E-2</v>
      </c>
      <c r="AX274" s="206">
        <v>2.4000000000000001E-4</v>
      </c>
      <c r="AY274" s="206">
        <v>5.1999999999999995E-4</v>
      </c>
    </row>
    <row r="275" spans="17:51">
      <c r="Q275" s="194"/>
      <c r="R275" s="194"/>
      <c r="S275" s="194"/>
      <c r="T275" s="194"/>
      <c r="U275" s="194"/>
      <c r="V275" s="194"/>
      <c r="W275" s="194"/>
      <c r="X275" s="194"/>
      <c r="Y275" s="194"/>
      <c r="Z275" s="194"/>
      <c r="AA275" s="194"/>
      <c r="AB275" s="194"/>
      <c r="AC275" s="194"/>
      <c r="AD275" s="194"/>
      <c r="AE275" s="194"/>
      <c r="AF275" s="194"/>
      <c r="AG275" s="194"/>
      <c r="AH275" s="194"/>
      <c r="AI275" s="194"/>
      <c r="AJ275" s="194"/>
      <c r="AK275" s="194"/>
      <c r="AL275" s="194"/>
      <c r="AM275" s="194"/>
      <c r="AN275" s="194"/>
      <c r="AO275" s="194"/>
      <c r="AP275" s="194"/>
      <c r="AQ275" s="194"/>
      <c r="AR275" s="194"/>
      <c r="AS275" s="194"/>
      <c r="AT275" s="194"/>
      <c r="AU275" s="194"/>
      <c r="AV275" s="194"/>
      <c r="AW275" s="194"/>
      <c r="AX275" s="194"/>
      <c r="AY275" s="194"/>
    </row>
    <row r="276" spans="17:51">
      <c r="Q276" s="194"/>
      <c r="R276" s="194"/>
      <c r="S276" s="194"/>
      <c r="T276" s="194"/>
      <c r="U276" s="194"/>
      <c r="V276" s="194"/>
      <c r="W276" s="194"/>
      <c r="X276" s="194"/>
      <c r="Y276" s="194"/>
      <c r="Z276" s="194"/>
      <c r="AA276" s="194"/>
      <c r="AB276" s="194"/>
      <c r="AC276" s="194"/>
      <c r="AD276" s="194"/>
      <c r="AE276" s="194"/>
      <c r="AF276" s="194"/>
      <c r="AG276" s="194"/>
      <c r="AH276" s="194"/>
      <c r="AI276" s="194"/>
      <c r="AJ276" s="194"/>
      <c r="AK276" s="194"/>
      <c r="AL276" s="194"/>
      <c r="AM276" s="194"/>
      <c r="AN276" s="194"/>
      <c r="AO276" s="194"/>
      <c r="AP276" s="194"/>
      <c r="AQ276" s="194"/>
      <c r="AR276" s="194"/>
      <c r="AS276" s="194"/>
      <c r="AT276" s="194"/>
      <c r="AU276" s="194"/>
      <c r="AV276" s="194"/>
      <c r="AW276" s="194"/>
      <c r="AX276" s="194"/>
      <c r="AY276" s="194"/>
    </row>
    <row r="277" spans="17:51">
      <c r="Q277" s="194"/>
      <c r="R277" s="194"/>
      <c r="S277" s="194"/>
      <c r="T277" s="194"/>
      <c r="U277" s="194"/>
      <c r="V277" s="194"/>
      <c r="W277" s="194"/>
      <c r="X277" s="194"/>
      <c r="Y277" s="194"/>
      <c r="Z277" s="194"/>
      <c r="AA277" s="194"/>
      <c r="AB277" s="194"/>
      <c r="AC277" s="194"/>
      <c r="AD277" s="194"/>
      <c r="AE277" s="194"/>
      <c r="AF277" s="194"/>
      <c r="AG277" s="194"/>
      <c r="AH277" s="194"/>
      <c r="AI277" s="194"/>
      <c r="AJ277" s="194"/>
      <c r="AK277" s="194"/>
      <c r="AL277" s="194"/>
      <c r="AM277" s="194"/>
      <c r="AN277" s="194"/>
      <c r="AO277" s="194"/>
      <c r="AP277" s="194"/>
      <c r="AQ277" s="194"/>
      <c r="AR277" s="194"/>
      <c r="AS277" s="194"/>
      <c r="AT277" s="194"/>
      <c r="AU277" s="194"/>
      <c r="AV277" s="194"/>
      <c r="AW277" s="194"/>
      <c r="AX277" s="194"/>
      <c r="AY277" s="194"/>
    </row>
    <row r="278" spans="17:51" ht="16.5">
      <c r="Q278" s="195" t="s">
        <v>1129</v>
      </c>
      <c r="R278" s="195" t="s">
        <v>1215</v>
      </c>
      <c r="S278" s="195" t="s">
        <v>860</v>
      </c>
      <c r="T278" s="196" t="s">
        <v>1131</v>
      </c>
      <c r="U278" s="196" t="s">
        <v>1132</v>
      </c>
      <c r="V278" s="196" t="s">
        <v>1133</v>
      </c>
      <c r="W278" s="196" t="s">
        <v>1134</v>
      </c>
      <c r="X278" s="194"/>
      <c r="Y278" s="194"/>
      <c r="Z278" s="194"/>
      <c r="AA278" s="194"/>
      <c r="AB278" s="194"/>
      <c r="AC278" s="194"/>
      <c r="AD278" s="194"/>
      <c r="AE278" s="194"/>
      <c r="AF278" s="194"/>
      <c r="AG278" s="194"/>
      <c r="AH278" s="194"/>
      <c r="AI278" s="194"/>
      <c r="AJ278" s="194"/>
      <c r="AK278" s="194"/>
      <c r="AL278" s="194"/>
      <c r="AM278" s="194"/>
      <c r="AN278" s="194"/>
      <c r="AO278" s="194"/>
      <c r="AP278" s="194"/>
      <c r="AQ278" s="194"/>
      <c r="AR278" s="194"/>
      <c r="AS278" s="194"/>
      <c r="AT278" s="194"/>
      <c r="AU278" s="194"/>
      <c r="AV278" s="194"/>
      <c r="AW278" s="194"/>
      <c r="AX278" s="194"/>
      <c r="AY278" s="194"/>
    </row>
    <row r="279" spans="17:51">
      <c r="Q279" s="1018" t="s">
        <v>623</v>
      </c>
      <c r="R279" s="1018" t="s">
        <v>340</v>
      </c>
      <c r="S279" s="196" t="s">
        <v>485</v>
      </c>
      <c r="T279" s="201">
        <v>8.4449999999999997E-2</v>
      </c>
      <c r="U279" s="201">
        <v>8.2409999999999997E-2</v>
      </c>
      <c r="V279" s="201">
        <v>1.74E-3</v>
      </c>
      <c r="W279" s="201">
        <v>2.9999999999999997E-4</v>
      </c>
      <c r="X279" s="194"/>
      <c r="Y279" s="194"/>
      <c r="Z279" s="194"/>
      <c r="AA279" s="194"/>
      <c r="AB279" s="194"/>
      <c r="AC279" s="194"/>
      <c r="AD279" s="194"/>
      <c r="AE279" s="194"/>
      <c r="AF279" s="194"/>
      <c r="AG279" s="194"/>
      <c r="AH279" s="194"/>
      <c r="AI279" s="194"/>
      <c r="AJ279" s="194"/>
      <c r="AK279" s="194"/>
      <c r="AL279" s="194"/>
      <c r="AM279" s="194"/>
      <c r="AN279" s="194"/>
      <c r="AO279" s="194"/>
      <c r="AP279" s="194"/>
      <c r="AQ279" s="194"/>
      <c r="AR279" s="194"/>
      <c r="AS279" s="194"/>
      <c r="AT279" s="194"/>
      <c r="AU279" s="194"/>
      <c r="AV279" s="194"/>
      <c r="AW279" s="194"/>
      <c r="AX279" s="194"/>
      <c r="AY279" s="194"/>
    </row>
    <row r="280" spans="17:51">
      <c r="Q280" s="1018"/>
      <c r="R280" s="1018"/>
      <c r="S280" s="196" t="s">
        <v>1220</v>
      </c>
      <c r="T280" s="201">
        <v>0.13591</v>
      </c>
      <c r="U280" s="201">
        <v>0.13263</v>
      </c>
      <c r="V280" s="201">
        <v>2.8E-3</v>
      </c>
      <c r="W280" s="201">
        <v>4.8000000000000001E-4</v>
      </c>
      <c r="X280" s="194"/>
      <c r="Y280" s="194"/>
      <c r="Z280" s="194"/>
      <c r="AA280" s="194"/>
      <c r="AB280" s="194"/>
      <c r="AC280" s="194"/>
      <c r="AD280" s="194"/>
      <c r="AE280" s="194"/>
      <c r="AF280" s="194"/>
      <c r="AG280" s="194"/>
      <c r="AH280" s="194"/>
      <c r="AI280" s="194"/>
      <c r="AJ280" s="194"/>
      <c r="AK280" s="194"/>
      <c r="AL280" s="194"/>
      <c r="AM280" s="194"/>
      <c r="AN280" s="194"/>
      <c r="AO280" s="194"/>
      <c r="AP280" s="194"/>
      <c r="AQ280" s="194"/>
      <c r="AR280" s="194"/>
      <c r="AS280" s="194"/>
      <c r="AT280" s="194"/>
      <c r="AU280" s="194"/>
      <c r="AV280" s="194"/>
      <c r="AW280" s="194"/>
      <c r="AX280" s="194"/>
      <c r="AY280" s="194"/>
    </row>
    <row r="281" spans="17:51">
      <c r="Q281" s="1018"/>
      <c r="R281" s="1018" t="s">
        <v>341</v>
      </c>
      <c r="S281" s="196" t="s">
        <v>485</v>
      </c>
      <c r="T281" s="201">
        <v>0.10289000000000001</v>
      </c>
      <c r="U281" s="201">
        <v>0.10004</v>
      </c>
      <c r="V281" s="201">
        <v>2.2499999999999998E-3</v>
      </c>
      <c r="W281" s="201">
        <v>5.9999999999999995E-4</v>
      </c>
      <c r="X281" s="194"/>
      <c r="Y281" s="194"/>
      <c r="Z281" s="194"/>
      <c r="AA281" s="194"/>
      <c r="AB281" s="194"/>
      <c r="AC281" s="194"/>
      <c r="AD281" s="194"/>
      <c r="AE281" s="194"/>
      <c r="AF281" s="194"/>
      <c r="AG281" s="194"/>
      <c r="AH281" s="194"/>
      <c r="AI281" s="194"/>
      <c r="AJ281" s="194"/>
      <c r="AK281" s="194"/>
      <c r="AL281" s="194"/>
      <c r="AM281" s="194"/>
      <c r="AN281" s="194"/>
      <c r="AO281" s="194"/>
      <c r="AP281" s="194"/>
      <c r="AQ281" s="194"/>
      <c r="AR281" s="194"/>
      <c r="AS281" s="194"/>
      <c r="AT281" s="194"/>
      <c r="AU281" s="194"/>
      <c r="AV281" s="194"/>
      <c r="AW281" s="194"/>
      <c r="AX281" s="194"/>
      <c r="AY281" s="194"/>
    </row>
    <row r="282" spans="17:51">
      <c r="Q282" s="1018"/>
      <c r="R282" s="1018"/>
      <c r="S282" s="196" t="s">
        <v>1220</v>
      </c>
      <c r="T282" s="201">
        <v>0.16559000000000001</v>
      </c>
      <c r="U282" s="201">
        <v>0.161</v>
      </c>
      <c r="V282" s="201">
        <v>3.62E-3</v>
      </c>
      <c r="W282" s="201">
        <v>9.7000000000000005E-4</v>
      </c>
      <c r="X282" s="194"/>
      <c r="Y282" s="194"/>
      <c r="Z282" s="194"/>
      <c r="AA282" s="194"/>
      <c r="AB282" s="194"/>
      <c r="AC282" s="194"/>
      <c r="AD282" s="194"/>
      <c r="AE282" s="194"/>
      <c r="AF282" s="194"/>
      <c r="AG282" s="194"/>
      <c r="AH282" s="194"/>
      <c r="AI282" s="194"/>
      <c r="AJ282" s="194"/>
      <c r="AK282" s="194"/>
      <c r="AL282" s="194"/>
      <c r="AM282" s="194"/>
      <c r="AN282" s="194"/>
      <c r="AO282" s="194"/>
      <c r="AP282" s="194"/>
      <c r="AQ282" s="194"/>
      <c r="AR282" s="194"/>
      <c r="AS282" s="194"/>
      <c r="AT282" s="194"/>
      <c r="AU282" s="194"/>
      <c r="AV282" s="194"/>
      <c r="AW282" s="194"/>
      <c r="AX282" s="194"/>
      <c r="AY282" s="194"/>
    </row>
    <row r="283" spans="17:51">
      <c r="Q283" s="1018"/>
      <c r="R283" s="1018" t="s">
        <v>1245</v>
      </c>
      <c r="S283" s="196" t="s">
        <v>485</v>
      </c>
      <c r="T283" s="201">
        <v>0.13500999999999999</v>
      </c>
      <c r="U283" s="201">
        <v>0.13308</v>
      </c>
      <c r="V283" s="201">
        <v>1.33E-3</v>
      </c>
      <c r="W283" s="201">
        <v>5.9999999999999995E-4</v>
      </c>
      <c r="X283" s="194"/>
      <c r="Y283" s="194"/>
      <c r="Z283" s="194"/>
      <c r="AA283" s="194"/>
      <c r="AB283" s="194"/>
      <c r="AC283" s="194"/>
      <c r="AD283" s="194"/>
      <c r="AE283" s="194"/>
      <c r="AF283" s="194"/>
      <c r="AG283" s="194"/>
      <c r="AH283" s="194"/>
      <c r="AI283" s="194"/>
      <c r="AJ283" s="194"/>
      <c r="AK283" s="194"/>
      <c r="AL283" s="194"/>
      <c r="AM283" s="194"/>
      <c r="AN283" s="194"/>
      <c r="AO283" s="194"/>
      <c r="AP283" s="194"/>
      <c r="AQ283" s="194"/>
      <c r="AR283" s="194"/>
      <c r="AS283" s="194"/>
      <c r="AT283" s="194"/>
      <c r="AU283" s="194"/>
      <c r="AV283" s="194"/>
      <c r="AW283" s="194"/>
      <c r="AX283" s="194"/>
      <c r="AY283" s="194"/>
    </row>
    <row r="284" spans="17:51">
      <c r="Q284" s="1018"/>
      <c r="R284" s="1018"/>
      <c r="S284" s="196" t="s">
        <v>1220</v>
      </c>
      <c r="T284" s="201">
        <v>0.21729000000000001</v>
      </c>
      <c r="U284" s="201">
        <v>0.21418000000000001</v>
      </c>
      <c r="V284" s="201">
        <v>2.14E-3</v>
      </c>
      <c r="W284" s="201">
        <v>9.7000000000000005E-4</v>
      </c>
      <c r="X284" s="194"/>
      <c r="Y284" s="194"/>
      <c r="Z284" s="194"/>
      <c r="AA284" s="194"/>
      <c r="AB284" s="194"/>
      <c r="AC284" s="194"/>
      <c r="AD284" s="194"/>
      <c r="AE284" s="194"/>
      <c r="AF284" s="194"/>
      <c r="AG284" s="194"/>
      <c r="AH284" s="194"/>
      <c r="AI284" s="194"/>
      <c r="AJ284" s="194"/>
      <c r="AK284" s="194"/>
      <c r="AL284" s="194"/>
      <c r="AM284" s="194"/>
      <c r="AN284" s="194"/>
      <c r="AO284" s="194"/>
      <c r="AP284" s="194"/>
      <c r="AQ284" s="194"/>
      <c r="AR284" s="194"/>
      <c r="AS284" s="194"/>
      <c r="AT284" s="194"/>
      <c r="AU284" s="194"/>
      <c r="AV284" s="194"/>
      <c r="AW284" s="194"/>
      <c r="AX284" s="194"/>
      <c r="AY284" s="194"/>
    </row>
    <row r="285" spans="17:51">
      <c r="Q285" s="1018"/>
      <c r="R285" s="1018" t="s">
        <v>1247</v>
      </c>
      <c r="S285" s="196" t="s">
        <v>485</v>
      </c>
      <c r="T285" s="201">
        <v>0.11551</v>
      </c>
      <c r="U285" s="201">
        <v>0.11314</v>
      </c>
      <c r="V285" s="201">
        <v>1.7799999999999999E-3</v>
      </c>
      <c r="W285" s="201">
        <v>5.9000000000000003E-4</v>
      </c>
      <c r="X285" s="194"/>
      <c r="Y285" s="194"/>
      <c r="Z285" s="194"/>
      <c r="AA285" s="194"/>
      <c r="AB285" s="194"/>
      <c r="AC285" s="194"/>
      <c r="AD285" s="194"/>
      <c r="AE285" s="194"/>
      <c r="AF285" s="194"/>
      <c r="AG285" s="194"/>
      <c r="AH285" s="194"/>
      <c r="AI285" s="194"/>
      <c r="AJ285" s="194"/>
      <c r="AK285" s="194"/>
      <c r="AL285" s="194"/>
      <c r="AM285" s="194"/>
      <c r="AN285" s="194"/>
      <c r="AO285" s="194"/>
      <c r="AP285" s="194"/>
      <c r="AQ285" s="194"/>
      <c r="AR285" s="194"/>
      <c r="AS285" s="194"/>
      <c r="AT285" s="194"/>
      <c r="AU285" s="194"/>
      <c r="AV285" s="194"/>
      <c r="AW285" s="194"/>
      <c r="AX285" s="194"/>
      <c r="AY285" s="194"/>
    </row>
    <row r="286" spans="17:51">
      <c r="Q286" s="1018"/>
      <c r="R286" s="1018"/>
      <c r="S286" s="196" t="s">
        <v>1220</v>
      </c>
      <c r="T286" s="201">
        <v>0.18589</v>
      </c>
      <c r="U286" s="201">
        <v>0.18207999999999999</v>
      </c>
      <c r="V286" s="201">
        <v>2.8600000000000001E-3</v>
      </c>
      <c r="W286" s="201">
        <v>9.5E-4</v>
      </c>
      <c r="X286" s="194"/>
      <c r="Y286" s="194"/>
      <c r="Z286" s="194"/>
      <c r="AA286" s="194"/>
      <c r="AB286" s="194"/>
      <c r="AC286" s="194"/>
      <c r="AD286" s="194"/>
      <c r="AE286" s="194"/>
      <c r="AF286" s="194"/>
      <c r="AG286" s="194"/>
      <c r="AH286" s="194"/>
      <c r="AI286" s="194"/>
      <c r="AJ286" s="194"/>
      <c r="AK286" s="194"/>
      <c r="AL286" s="194"/>
      <c r="AM286" s="194"/>
      <c r="AN286" s="194"/>
      <c r="AO286" s="194"/>
      <c r="AP286" s="194"/>
      <c r="AQ286" s="194"/>
      <c r="AR286" s="194"/>
      <c r="AS286" s="194"/>
      <c r="AT286" s="194"/>
      <c r="AU286" s="194"/>
      <c r="AV286" s="194"/>
      <c r="AW286" s="194"/>
      <c r="AX286" s="194"/>
      <c r="AY286" s="194"/>
    </row>
    <row r="287" spans="17:51">
      <c r="Q287" s="194"/>
      <c r="R287" s="194"/>
      <c r="S287" s="194"/>
      <c r="T287" s="194"/>
      <c r="U287" s="194"/>
      <c r="V287" s="194"/>
      <c r="W287" s="194"/>
      <c r="X287" s="194"/>
      <c r="Y287" s="194"/>
      <c r="Z287" s="194"/>
      <c r="AA287" s="194"/>
      <c r="AB287" s="194"/>
      <c r="AC287" s="194"/>
      <c r="AD287" s="194"/>
      <c r="AE287" s="194"/>
      <c r="AF287" s="194"/>
      <c r="AG287" s="194"/>
      <c r="AH287" s="194"/>
      <c r="AI287" s="194"/>
      <c r="AJ287" s="194"/>
      <c r="AK287" s="194"/>
      <c r="AL287" s="194"/>
      <c r="AM287" s="194"/>
      <c r="AN287" s="194"/>
      <c r="AO287" s="194"/>
      <c r="AP287" s="194"/>
      <c r="AQ287" s="194"/>
      <c r="AR287" s="194"/>
      <c r="AS287" s="194"/>
      <c r="AT287" s="194"/>
      <c r="AU287" s="194"/>
      <c r="AV287" s="194"/>
      <c r="AW287" s="194"/>
      <c r="AX287" s="194"/>
      <c r="AY287" s="194"/>
    </row>
    <row r="288" spans="17:51">
      <c r="Q288" s="194"/>
      <c r="R288" s="194"/>
      <c r="S288" s="194"/>
      <c r="T288" s="194"/>
      <c r="U288" s="194"/>
      <c r="V288" s="194"/>
      <c r="W288" s="194"/>
      <c r="X288" s="194"/>
      <c r="Y288" s="194"/>
      <c r="Z288" s="194"/>
      <c r="AA288" s="194"/>
      <c r="AB288" s="194"/>
      <c r="AC288" s="194"/>
      <c r="AD288" s="194"/>
      <c r="AE288" s="194"/>
      <c r="AF288" s="194"/>
      <c r="AG288" s="194"/>
      <c r="AH288" s="194"/>
      <c r="AI288" s="194"/>
      <c r="AJ288" s="194"/>
      <c r="AK288" s="194"/>
      <c r="AL288" s="194"/>
      <c r="AM288" s="194"/>
      <c r="AN288" s="194"/>
      <c r="AO288" s="194"/>
      <c r="AP288" s="194"/>
      <c r="AQ288" s="194"/>
      <c r="AR288" s="194"/>
      <c r="AS288" s="194"/>
      <c r="AT288" s="194"/>
      <c r="AU288" s="194"/>
      <c r="AV288" s="194"/>
      <c r="AW288" s="194"/>
      <c r="AX288" s="194"/>
      <c r="AY288" s="194"/>
    </row>
    <row r="289" spans="17:51">
      <c r="Q289" s="194"/>
      <c r="R289" s="194"/>
      <c r="S289" s="194"/>
      <c r="T289" s="194"/>
      <c r="U289" s="194"/>
      <c r="V289" s="194"/>
      <c r="W289" s="194"/>
      <c r="X289" s="194"/>
      <c r="Y289" s="194"/>
      <c r="Z289" s="194"/>
      <c r="AA289" s="194"/>
      <c r="AB289" s="194"/>
      <c r="AC289" s="194"/>
      <c r="AD289" s="194"/>
      <c r="AE289" s="194"/>
      <c r="AF289" s="194"/>
      <c r="AG289" s="194"/>
      <c r="AH289" s="194"/>
      <c r="AI289" s="194"/>
      <c r="AJ289" s="194"/>
      <c r="AK289" s="194"/>
      <c r="AL289" s="194"/>
      <c r="AM289" s="194"/>
      <c r="AN289" s="194"/>
      <c r="AO289" s="194"/>
      <c r="AP289" s="194"/>
      <c r="AQ289" s="194"/>
      <c r="AR289" s="194"/>
      <c r="AS289" s="194"/>
      <c r="AT289" s="194"/>
      <c r="AU289" s="194"/>
      <c r="AV289" s="194"/>
      <c r="AW289" s="194"/>
      <c r="AX289" s="194"/>
      <c r="AY289" s="194"/>
    </row>
    <row r="290" spans="17:51" ht="16.5">
      <c r="Q290" s="195" t="s">
        <v>1129</v>
      </c>
      <c r="R290" s="195" t="s">
        <v>1215</v>
      </c>
      <c r="S290" s="195" t="s">
        <v>860</v>
      </c>
      <c r="T290" s="196" t="s">
        <v>1131</v>
      </c>
      <c r="U290" s="196" t="s">
        <v>1132</v>
      </c>
      <c r="V290" s="196" t="s">
        <v>1133</v>
      </c>
      <c r="W290" s="196" t="s">
        <v>1134</v>
      </c>
      <c r="X290" s="194"/>
      <c r="Y290" s="194"/>
      <c r="Z290" s="194"/>
      <c r="AA290" s="194"/>
      <c r="AB290" s="194"/>
      <c r="AC290" s="194"/>
      <c r="AD290" s="194"/>
      <c r="AE290" s="194"/>
      <c r="AF290" s="194"/>
      <c r="AG290" s="194"/>
      <c r="AH290" s="194"/>
      <c r="AI290" s="194"/>
      <c r="AJ290" s="194"/>
      <c r="AK290" s="194"/>
      <c r="AL290" s="194"/>
      <c r="AM290" s="194"/>
      <c r="AN290" s="194"/>
      <c r="AO290" s="194"/>
      <c r="AP290" s="194"/>
      <c r="AQ290" s="194"/>
      <c r="AR290" s="194"/>
      <c r="AS290" s="194"/>
      <c r="AT290" s="194"/>
      <c r="AU290" s="194"/>
      <c r="AV290" s="194"/>
      <c r="AW290" s="194"/>
      <c r="AX290" s="194"/>
      <c r="AY290" s="194"/>
    </row>
    <row r="291" spans="17:51">
      <c r="Q291" s="1018" t="s">
        <v>1275</v>
      </c>
      <c r="R291" s="1018" t="s">
        <v>1276</v>
      </c>
      <c r="S291" s="196" t="s">
        <v>1257</v>
      </c>
      <c r="T291" s="199">
        <v>0.15018000000000001</v>
      </c>
      <c r="U291" s="199">
        <v>0.14885999999999999</v>
      </c>
      <c r="V291" s="199">
        <v>3.0800000000000002E-6</v>
      </c>
      <c r="W291" s="199">
        <v>1.32E-3</v>
      </c>
      <c r="X291" s="194"/>
      <c r="Y291" s="194"/>
      <c r="Z291" s="194"/>
      <c r="AA291" s="194"/>
      <c r="AB291" s="194"/>
      <c r="AC291" s="194"/>
      <c r="AD291" s="194"/>
      <c r="AE291" s="194"/>
      <c r="AF291" s="194"/>
      <c r="AG291" s="194"/>
      <c r="AH291" s="194"/>
      <c r="AI291" s="194"/>
      <c r="AJ291" s="194"/>
      <c r="AK291" s="194"/>
      <c r="AL291" s="194"/>
      <c r="AM291" s="194"/>
      <c r="AN291" s="194"/>
      <c r="AO291" s="194"/>
      <c r="AP291" s="194"/>
      <c r="AQ291" s="194"/>
      <c r="AR291" s="194"/>
      <c r="AS291" s="194"/>
      <c r="AT291" s="194"/>
      <c r="AU291" s="194"/>
      <c r="AV291" s="194"/>
      <c r="AW291" s="194"/>
      <c r="AX291" s="194"/>
      <c r="AY291" s="194"/>
    </row>
    <row r="292" spans="17:51">
      <c r="Q292" s="1018"/>
      <c r="R292" s="1018"/>
      <c r="S292" s="196" t="s">
        <v>485</v>
      </c>
      <c r="T292" s="199">
        <v>0.21024000000000001</v>
      </c>
      <c r="U292" s="199">
        <v>0.2084</v>
      </c>
      <c r="V292" s="199">
        <v>4.3200000000000001E-6</v>
      </c>
      <c r="W292" s="199">
        <v>1.8400000000000001E-3</v>
      </c>
      <c r="X292" s="194"/>
      <c r="Y292" s="194"/>
      <c r="Z292" s="194"/>
      <c r="AA292" s="194"/>
      <c r="AB292" s="194"/>
      <c r="AC292" s="194"/>
      <c r="AD292" s="194"/>
      <c r="AE292" s="194"/>
      <c r="AF292" s="194"/>
      <c r="AG292" s="194"/>
      <c r="AH292" s="194"/>
      <c r="AI292" s="194"/>
      <c r="AJ292" s="194"/>
      <c r="AK292" s="194"/>
      <c r="AL292" s="194"/>
      <c r="AM292" s="194"/>
      <c r="AN292" s="194"/>
      <c r="AO292" s="194"/>
      <c r="AP292" s="194"/>
      <c r="AQ292" s="194"/>
      <c r="AR292" s="194"/>
      <c r="AS292" s="194"/>
      <c r="AT292" s="194"/>
      <c r="AU292" s="194"/>
      <c r="AV292" s="194"/>
      <c r="AW292" s="194"/>
      <c r="AX292" s="194"/>
      <c r="AY292" s="194"/>
    </row>
    <row r="293" spans="17:51">
      <c r="Q293" s="1018"/>
      <c r="R293" s="1018" t="s">
        <v>1277</v>
      </c>
      <c r="S293" s="196" t="s">
        <v>1257</v>
      </c>
      <c r="T293" s="199">
        <v>0.21176</v>
      </c>
      <c r="U293" s="199">
        <v>0.21052999999999999</v>
      </c>
      <c r="V293" s="199">
        <v>2.88E-6</v>
      </c>
      <c r="W293" s="199">
        <v>1.23E-3</v>
      </c>
      <c r="X293" s="194"/>
      <c r="Y293" s="194"/>
      <c r="Z293" s="194"/>
      <c r="AA293" s="194"/>
      <c r="AB293" s="194"/>
      <c r="AC293" s="194"/>
      <c r="AD293" s="194"/>
      <c r="AE293" s="194"/>
      <c r="AF293" s="194"/>
      <c r="AG293" s="194"/>
      <c r="AH293" s="194"/>
      <c r="AI293" s="194"/>
      <c r="AJ293" s="194"/>
      <c r="AK293" s="194"/>
      <c r="AL293" s="194"/>
      <c r="AM293" s="194"/>
      <c r="AN293" s="194"/>
      <c r="AO293" s="194"/>
      <c r="AP293" s="194"/>
      <c r="AQ293" s="194"/>
      <c r="AR293" s="194"/>
      <c r="AS293" s="194"/>
      <c r="AT293" s="194"/>
      <c r="AU293" s="194"/>
      <c r="AV293" s="194"/>
      <c r="AW293" s="194"/>
      <c r="AX293" s="194"/>
      <c r="AY293" s="194"/>
    </row>
    <row r="294" spans="17:51">
      <c r="Q294" s="1018"/>
      <c r="R294" s="1018"/>
      <c r="S294" s="196" t="s">
        <v>485</v>
      </c>
      <c r="T294" s="199">
        <v>0.31763999999999998</v>
      </c>
      <c r="U294" s="199">
        <v>0.31580000000000003</v>
      </c>
      <c r="V294" s="199">
        <v>4.3200000000000001E-6</v>
      </c>
      <c r="W294" s="199">
        <v>1.8400000000000001E-3</v>
      </c>
      <c r="X294" s="194"/>
      <c r="Y294" s="194"/>
      <c r="Z294" s="194"/>
      <c r="AA294" s="194"/>
      <c r="AB294" s="194"/>
      <c r="AC294" s="194"/>
      <c r="AD294" s="194"/>
      <c r="AE294" s="194"/>
      <c r="AF294" s="194"/>
      <c r="AG294" s="194"/>
      <c r="AH294" s="194"/>
      <c r="AI294" s="194"/>
      <c r="AJ294" s="194"/>
      <c r="AK294" s="194"/>
      <c r="AL294" s="194"/>
      <c r="AM294" s="194"/>
      <c r="AN294" s="194"/>
      <c r="AO294" s="194"/>
      <c r="AP294" s="194"/>
      <c r="AQ294" s="194"/>
      <c r="AR294" s="194"/>
      <c r="AS294" s="194"/>
      <c r="AT294" s="194"/>
      <c r="AU294" s="194"/>
      <c r="AV294" s="194"/>
      <c r="AW294" s="194"/>
      <c r="AX294" s="194"/>
      <c r="AY294" s="194"/>
    </row>
    <row r="295" spans="17:51">
      <c r="Q295" s="194"/>
      <c r="R295" s="194"/>
      <c r="S295" s="194"/>
      <c r="T295" s="194"/>
      <c r="U295" s="194"/>
      <c r="V295" s="194"/>
      <c r="W295" s="194"/>
      <c r="X295" s="194"/>
      <c r="Y295" s="194"/>
      <c r="Z295" s="194"/>
      <c r="AA295" s="194"/>
      <c r="AB295" s="194"/>
      <c r="AC295" s="194"/>
      <c r="AD295" s="194"/>
      <c r="AE295" s="194"/>
      <c r="AF295" s="194"/>
      <c r="AG295" s="194"/>
      <c r="AH295" s="194"/>
      <c r="AI295" s="194"/>
      <c r="AJ295" s="194"/>
      <c r="AK295" s="194"/>
      <c r="AL295" s="194"/>
      <c r="AM295" s="194"/>
      <c r="AN295" s="194"/>
      <c r="AO295" s="194"/>
      <c r="AP295" s="194"/>
      <c r="AQ295" s="194"/>
      <c r="AR295" s="194"/>
      <c r="AS295" s="194"/>
      <c r="AT295" s="194"/>
      <c r="AU295" s="194"/>
      <c r="AV295" s="194"/>
      <c r="AW295" s="194"/>
      <c r="AX295" s="194"/>
      <c r="AY295" s="194"/>
    </row>
    <row r="296" spans="17:51">
      <c r="Q296" s="194"/>
      <c r="R296" s="194"/>
      <c r="S296" s="194"/>
      <c r="T296" s="194"/>
      <c r="U296" s="194"/>
      <c r="V296" s="194"/>
      <c r="W296" s="194"/>
      <c r="X296" s="194"/>
      <c r="Y296" s="194"/>
      <c r="Z296" s="194"/>
      <c r="AA296" s="194"/>
      <c r="AB296" s="194"/>
      <c r="AC296" s="194"/>
      <c r="AD296" s="194"/>
      <c r="AE296" s="194"/>
      <c r="AF296" s="194"/>
      <c r="AG296" s="194"/>
      <c r="AH296" s="194"/>
      <c r="AI296" s="194"/>
      <c r="AJ296" s="194"/>
      <c r="AK296" s="194"/>
      <c r="AL296" s="194"/>
      <c r="AM296" s="194"/>
      <c r="AN296" s="194"/>
      <c r="AO296" s="194"/>
      <c r="AP296" s="194"/>
      <c r="AQ296" s="194"/>
      <c r="AR296" s="194"/>
      <c r="AS296" s="194"/>
      <c r="AT296" s="194"/>
      <c r="AU296" s="194"/>
      <c r="AV296" s="194"/>
      <c r="AW296" s="194"/>
      <c r="AX296" s="194"/>
      <c r="AY296" s="194"/>
    </row>
    <row r="297" spans="17:51">
      <c r="Q297" s="194"/>
      <c r="R297" s="194"/>
      <c r="S297" s="194"/>
      <c r="T297" s="194"/>
      <c r="U297" s="194"/>
      <c r="V297" s="194"/>
      <c r="W297" s="194"/>
      <c r="X297" s="194"/>
      <c r="Y297" s="194"/>
      <c r="Z297" s="194"/>
      <c r="AA297" s="194"/>
      <c r="AB297" s="194"/>
      <c r="AC297" s="194"/>
      <c r="AD297" s="194"/>
      <c r="AE297" s="194"/>
      <c r="AF297" s="194"/>
      <c r="AG297" s="194"/>
      <c r="AH297" s="194"/>
      <c r="AI297" s="194"/>
      <c r="AJ297" s="194"/>
      <c r="AK297" s="194"/>
      <c r="AL297" s="194"/>
      <c r="AM297" s="194"/>
      <c r="AN297" s="194"/>
      <c r="AO297" s="194"/>
      <c r="AP297" s="194"/>
      <c r="AQ297" s="194"/>
      <c r="AR297" s="194"/>
      <c r="AS297" s="194"/>
      <c r="AT297" s="194"/>
      <c r="AU297" s="194"/>
      <c r="AV297" s="194"/>
      <c r="AW297" s="194"/>
      <c r="AX297" s="194"/>
      <c r="AY297" s="194"/>
    </row>
    <row r="298" spans="17:51" ht="16.5">
      <c r="Q298" s="195" t="s">
        <v>1129</v>
      </c>
      <c r="R298" s="195" t="s">
        <v>1215</v>
      </c>
      <c r="S298" s="195" t="s">
        <v>860</v>
      </c>
      <c r="T298" s="196" t="s">
        <v>1131</v>
      </c>
      <c r="U298" s="196" t="s">
        <v>1132</v>
      </c>
      <c r="V298" s="196" t="s">
        <v>1133</v>
      </c>
      <c r="W298" s="196" t="s">
        <v>1134</v>
      </c>
      <c r="X298" s="194"/>
      <c r="Y298" s="194"/>
      <c r="Z298" s="194"/>
      <c r="AA298" s="194"/>
      <c r="AB298" s="194"/>
      <c r="AC298" s="194"/>
      <c r="AD298" s="194"/>
      <c r="AE298" s="194"/>
      <c r="AF298" s="194"/>
      <c r="AG298" s="194"/>
      <c r="AH298" s="194"/>
      <c r="AI298" s="194"/>
      <c r="AJ298" s="194"/>
      <c r="AK298" s="194"/>
      <c r="AL298" s="194"/>
      <c r="AM298" s="194"/>
      <c r="AN298" s="194"/>
      <c r="AO298" s="194"/>
      <c r="AP298" s="194"/>
      <c r="AQ298" s="194"/>
      <c r="AR298" s="194"/>
      <c r="AS298" s="194"/>
      <c r="AT298" s="194"/>
      <c r="AU298" s="194"/>
      <c r="AV298" s="194"/>
      <c r="AW298" s="194"/>
      <c r="AX298" s="194"/>
      <c r="AY298" s="194"/>
    </row>
    <row r="299" spans="17:51">
      <c r="Q299" s="1018" t="s">
        <v>476</v>
      </c>
      <c r="R299" s="196" t="s">
        <v>1278</v>
      </c>
      <c r="S299" s="196" t="s">
        <v>1257</v>
      </c>
      <c r="T299" s="201">
        <v>0.12076000000000001</v>
      </c>
      <c r="U299" s="201">
        <v>0.11974</v>
      </c>
      <c r="V299" s="201">
        <v>3.0000000000000001E-5</v>
      </c>
      <c r="W299" s="201">
        <v>9.8999999999999999E-4</v>
      </c>
      <c r="X299" s="194"/>
      <c r="Y299" s="194"/>
      <c r="Z299" s="194"/>
      <c r="AA299" s="194"/>
      <c r="AB299" s="194"/>
      <c r="AC299" s="194"/>
      <c r="AD299" s="194"/>
      <c r="AE299" s="194"/>
      <c r="AF299" s="194"/>
      <c r="AG299" s="194"/>
      <c r="AH299" s="194"/>
      <c r="AI299" s="194"/>
      <c r="AJ299" s="194"/>
      <c r="AK299" s="194"/>
      <c r="AL299" s="194"/>
      <c r="AM299" s="194"/>
      <c r="AN299" s="194"/>
      <c r="AO299" s="194"/>
      <c r="AP299" s="194"/>
      <c r="AQ299" s="194"/>
      <c r="AR299" s="194"/>
      <c r="AS299" s="194"/>
      <c r="AT299" s="194"/>
      <c r="AU299" s="194"/>
      <c r="AV299" s="194"/>
      <c r="AW299" s="194"/>
      <c r="AX299" s="194"/>
      <c r="AY299" s="194"/>
    </row>
    <row r="300" spans="17:51">
      <c r="Q300" s="1018"/>
      <c r="R300" s="196" t="s">
        <v>1279</v>
      </c>
      <c r="S300" s="196" t="s">
        <v>1257</v>
      </c>
      <c r="T300" s="201">
        <v>8.2079999999999986E-2</v>
      </c>
      <c r="U300" s="201">
        <v>8.1629999999999994E-2</v>
      </c>
      <c r="V300" s="201">
        <v>1.0000000000000001E-5</v>
      </c>
      <c r="W300" s="201">
        <v>4.4000000000000002E-4</v>
      </c>
      <c r="X300" s="194"/>
      <c r="Y300" s="194"/>
      <c r="Z300" s="194"/>
      <c r="AA300" s="194"/>
      <c r="AB300" s="194"/>
      <c r="AC300" s="194"/>
      <c r="AD300" s="194"/>
      <c r="AE300" s="194"/>
      <c r="AF300" s="194"/>
      <c r="AG300" s="194"/>
      <c r="AH300" s="194"/>
      <c r="AI300" s="194"/>
      <c r="AJ300" s="194"/>
      <c r="AK300" s="194"/>
      <c r="AL300" s="194"/>
      <c r="AM300" s="194"/>
      <c r="AN300" s="194"/>
      <c r="AO300" s="194"/>
      <c r="AP300" s="194"/>
      <c r="AQ300" s="194"/>
      <c r="AR300" s="194"/>
      <c r="AS300" s="194"/>
      <c r="AT300" s="194"/>
      <c r="AU300" s="194"/>
      <c r="AV300" s="194"/>
      <c r="AW300" s="194"/>
      <c r="AX300" s="194"/>
      <c r="AY300" s="194"/>
    </row>
    <row r="301" spans="17:51">
      <c r="Q301" s="1018"/>
      <c r="R301" s="196" t="s">
        <v>1280</v>
      </c>
      <c r="S301" s="196" t="s">
        <v>1257</v>
      </c>
      <c r="T301" s="201">
        <v>0.10471000000000001</v>
      </c>
      <c r="U301" s="201">
        <v>0.10391</v>
      </c>
      <c r="V301" s="201">
        <v>3.0000000000000001E-5</v>
      </c>
      <c r="W301" s="201">
        <v>7.6999999999999996E-4</v>
      </c>
      <c r="X301" s="194"/>
      <c r="Y301" s="194"/>
      <c r="Z301" s="194"/>
      <c r="AA301" s="194"/>
      <c r="AB301" s="194"/>
      <c r="AC301" s="194"/>
      <c r="AD301" s="194"/>
      <c r="AE301" s="194"/>
      <c r="AF301" s="194"/>
      <c r="AG301" s="194"/>
      <c r="AH301" s="194"/>
      <c r="AI301" s="194"/>
      <c r="AJ301" s="194"/>
      <c r="AK301" s="194"/>
      <c r="AL301" s="194"/>
      <c r="AM301" s="194"/>
      <c r="AN301" s="194"/>
      <c r="AO301" s="194"/>
      <c r="AP301" s="194"/>
      <c r="AQ301" s="194"/>
      <c r="AR301" s="194"/>
      <c r="AS301" s="194"/>
      <c r="AT301" s="194"/>
      <c r="AU301" s="194"/>
      <c r="AV301" s="194"/>
      <c r="AW301" s="194"/>
      <c r="AX301" s="194"/>
      <c r="AY301" s="194"/>
    </row>
    <row r="302" spans="17:51">
      <c r="Q302" s="1018"/>
      <c r="R302" s="196" t="s">
        <v>1281</v>
      </c>
      <c r="S302" s="196" t="s">
        <v>1257</v>
      </c>
      <c r="T302" s="201">
        <v>2.7789999999999999E-2</v>
      </c>
      <c r="U302" s="201">
        <v>2.7279999999999999E-2</v>
      </c>
      <c r="V302" s="201">
        <v>2.0000000000000002E-5</v>
      </c>
      <c r="W302" s="201">
        <v>4.8999999999999998E-4</v>
      </c>
      <c r="X302" s="194"/>
      <c r="Y302" s="194"/>
      <c r="Z302" s="194"/>
      <c r="AA302" s="194"/>
      <c r="AB302" s="194"/>
      <c r="AC302" s="194"/>
      <c r="AD302" s="194"/>
      <c r="AE302" s="194"/>
      <c r="AF302" s="194"/>
      <c r="AG302" s="194"/>
      <c r="AH302" s="194"/>
      <c r="AI302" s="194"/>
      <c r="AJ302" s="194"/>
      <c r="AK302" s="194"/>
      <c r="AL302" s="194"/>
      <c r="AM302" s="194"/>
      <c r="AN302" s="194"/>
      <c r="AO302" s="194"/>
      <c r="AP302" s="194"/>
      <c r="AQ302" s="194"/>
      <c r="AR302" s="194"/>
      <c r="AS302" s="194"/>
      <c r="AT302" s="194"/>
      <c r="AU302" s="194"/>
      <c r="AV302" s="194"/>
      <c r="AW302" s="194"/>
      <c r="AX302" s="194"/>
      <c r="AY302" s="194"/>
    </row>
    <row r="303" spans="17:51">
      <c r="Q303" s="194"/>
      <c r="R303" s="194"/>
      <c r="S303" s="194"/>
      <c r="T303" s="194"/>
      <c r="U303" s="194"/>
      <c r="V303" s="194"/>
      <c r="W303" s="194"/>
      <c r="X303" s="194"/>
      <c r="Y303" s="194"/>
      <c r="Z303" s="194"/>
      <c r="AA303" s="194"/>
      <c r="AB303" s="194"/>
      <c r="AC303" s="194"/>
      <c r="AD303" s="194"/>
      <c r="AE303" s="194"/>
      <c r="AF303" s="194"/>
      <c r="AG303" s="194"/>
      <c r="AH303" s="194"/>
      <c r="AI303" s="194"/>
      <c r="AJ303" s="194"/>
      <c r="AK303" s="194"/>
      <c r="AL303" s="194"/>
      <c r="AM303" s="194"/>
      <c r="AN303" s="194"/>
      <c r="AO303" s="194"/>
      <c r="AP303" s="194"/>
      <c r="AQ303" s="194"/>
      <c r="AR303" s="194"/>
      <c r="AS303" s="194"/>
      <c r="AT303" s="194"/>
      <c r="AU303" s="194"/>
      <c r="AV303" s="194"/>
      <c r="AW303" s="194"/>
      <c r="AX303" s="194"/>
      <c r="AY303" s="194"/>
    </row>
    <row r="304" spans="17:51">
      <c r="Q304" s="194"/>
      <c r="R304" s="194"/>
      <c r="S304" s="194"/>
      <c r="T304" s="194"/>
      <c r="U304" s="194"/>
      <c r="V304" s="194"/>
      <c r="W304" s="194"/>
      <c r="X304" s="194"/>
      <c r="Y304" s="194"/>
      <c r="Z304" s="194"/>
      <c r="AA304" s="194"/>
      <c r="AB304" s="194"/>
      <c r="AC304" s="194"/>
      <c r="AD304" s="194"/>
      <c r="AE304" s="194"/>
      <c r="AF304" s="194"/>
      <c r="AG304" s="194"/>
      <c r="AH304" s="194"/>
      <c r="AI304" s="194"/>
      <c r="AJ304" s="194"/>
      <c r="AK304" s="194"/>
      <c r="AL304" s="194"/>
      <c r="AM304" s="194"/>
      <c r="AN304" s="194"/>
      <c r="AO304" s="194"/>
      <c r="AP304" s="194"/>
      <c r="AQ304" s="194"/>
      <c r="AR304" s="194"/>
      <c r="AS304" s="194"/>
      <c r="AT304" s="194"/>
      <c r="AU304" s="194"/>
      <c r="AV304" s="194"/>
      <c r="AW304" s="194"/>
      <c r="AX304" s="194"/>
      <c r="AY304" s="194"/>
    </row>
    <row r="305" spans="3:51">
      <c r="Q305" s="194"/>
      <c r="R305" s="194"/>
      <c r="S305" s="194"/>
      <c r="T305" s="194"/>
      <c r="U305" s="194"/>
      <c r="V305" s="194"/>
      <c r="W305" s="194"/>
      <c r="X305" s="194"/>
      <c r="Y305" s="194"/>
      <c r="Z305" s="194"/>
      <c r="AA305" s="194"/>
      <c r="AB305" s="194"/>
      <c r="AC305" s="194"/>
      <c r="AD305" s="194"/>
      <c r="AE305" s="194"/>
      <c r="AF305" s="194"/>
      <c r="AG305" s="194"/>
      <c r="AH305" s="194"/>
      <c r="AI305" s="194"/>
      <c r="AJ305" s="194"/>
      <c r="AK305" s="194"/>
      <c r="AL305" s="194"/>
      <c r="AM305" s="194"/>
      <c r="AN305" s="194"/>
      <c r="AO305" s="194"/>
      <c r="AP305" s="194"/>
      <c r="AQ305" s="194"/>
      <c r="AR305" s="194"/>
      <c r="AS305" s="194"/>
      <c r="AT305" s="194"/>
      <c r="AU305" s="194"/>
      <c r="AV305" s="194"/>
      <c r="AW305" s="194"/>
      <c r="AX305" s="194"/>
      <c r="AY305" s="194"/>
    </row>
    <row r="306" spans="3:51" ht="16.5">
      <c r="Q306" s="195" t="s">
        <v>1129</v>
      </c>
      <c r="R306" s="195" t="s">
        <v>1215</v>
      </c>
      <c r="S306" s="195" t="s">
        <v>860</v>
      </c>
      <c r="T306" s="196" t="s">
        <v>1131</v>
      </c>
      <c r="U306" s="196" t="s">
        <v>1132</v>
      </c>
      <c r="V306" s="196" t="s">
        <v>1133</v>
      </c>
      <c r="W306" s="196" t="s">
        <v>1134</v>
      </c>
      <c r="X306" s="194"/>
      <c r="Y306" s="194"/>
      <c r="Z306" s="194"/>
      <c r="AA306" s="194"/>
      <c r="AB306" s="194"/>
      <c r="AC306" s="194"/>
      <c r="AD306" s="194"/>
      <c r="AE306" s="194"/>
      <c r="AF306" s="194"/>
      <c r="AG306" s="194"/>
      <c r="AH306" s="194"/>
      <c r="AI306" s="194"/>
      <c r="AJ306" s="194"/>
      <c r="AK306" s="194"/>
      <c r="AL306" s="194"/>
      <c r="AM306" s="194"/>
      <c r="AN306" s="194"/>
      <c r="AO306" s="194"/>
      <c r="AP306" s="194"/>
      <c r="AQ306" s="194"/>
      <c r="AR306" s="194"/>
      <c r="AS306" s="194"/>
      <c r="AT306" s="194"/>
      <c r="AU306" s="194"/>
      <c r="AV306" s="194"/>
      <c r="AW306" s="194"/>
      <c r="AX306" s="194"/>
      <c r="AY306" s="194"/>
    </row>
    <row r="307" spans="3:51">
      <c r="Q307" s="1018" t="s">
        <v>490</v>
      </c>
      <c r="R307" s="196" t="s">
        <v>639</v>
      </c>
      <c r="S307" s="196" t="s">
        <v>1257</v>
      </c>
      <c r="T307" s="199">
        <v>4.1149999999999999E-2</v>
      </c>
      <c r="U307" s="199">
        <v>4.0770000000000001E-2</v>
      </c>
      <c r="V307" s="199">
        <v>6.9999999999999994E-5</v>
      </c>
      <c r="W307" s="199">
        <v>3.1E-4</v>
      </c>
      <c r="X307" s="194"/>
      <c r="Y307" s="194"/>
      <c r="Z307" s="194"/>
      <c r="AA307" s="194"/>
      <c r="AB307" s="194"/>
      <c r="AC307" s="194"/>
      <c r="AD307" s="194"/>
      <c r="AE307" s="194"/>
      <c r="AF307" s="194"/>
      <c r="AG307" s="194"/>
      <c r="AH307" s="194"/>
      <c r="AI307" s="194"/>
      <c r="AJ307" s="194"/>
      <c r="AK307" s="194"/>
      <c r="AL307" s="194"/>
      <c r="AM307" s="194"/>
      <c r="AN307" s="194"/>
      <c r="AO307" s="194"/>
      <c r="AP307" s="194"/>
      <c r="AQ307" s="194"/>
      <c r="AR307" s="194"/>
      <c r="AS307" s="194"/>
      <c r="AT307" s="194"/>
      <c r="AU307" s="194"/>
      <c r="AV307" s="194"/>
      <c r="AW307" s="194"/>
      <c r="AX307" s="194"/>
      <c r="AY307" s="194"/>
    </row>
    <row r="308" spans="3:51">
      <c r="Q308" s="1018"/>
      <c r="R308" s="196" t="s">
        <v>643</v>
      </c>
      <c r="S308" s="196" t="s">
        <v>1257</v>
      </c>
      <c r="T308" s="199">
        <v>5.9699999999999996E-3</v>
      </c>
      <c r="U308" s="199">
        <v>5.9199999999999999E-3</v>
      </c>
      <c r="V308" s="199">
        <v>2.0000000000000002E-5</v>
      </c>
      <c r="W308" s="199">
        <v>3.0000000000000001E-5</v>
      </c>
      <c r="X308" s="194"/>
      <c r="Y308" s="194"/>
      <c r="Z308" s="194"/>
      <c r="AA308" s="194"/>
      <c r="AB308" s="194"/>
      <c r="AC308" s="194"/>
      <c r="AD308" s="194"/>
      <c r="AE308" s="194"/>
      <c r="AF308" s="194"/>
      <c r="AG308" s="194"/>
      <c r="AH308" s="194"/>
      <c r="AI308" s="194"/>
      <c r="AJ308" s="194"/>
      <c r="AK308" s="194"/>
      <c r="AL308" s="194"/>
      <c r="AM308" s="194"/>
      <c r="AN308" s="194"/>
      <c r="AO308" s="194"/>
      <c r="AP308" s="194"/>
      <c r="AQ308" s="194"/>
      <c r="AR308" s="194"/>
      <c r="AS308" s="194"/>
      <c r="AT308" s="194"/>
      <c r="AU308" s="194"/>
      <c r="AV308" s="194"/>
      <c r="AW308" s="194"/>
      <c r="AX308" s="194"/>
      <c r="AY308" s="194"/>
    </row>
    <row r="309" spans="3:51">
      <c r="Q309" s="1018"/>
      <c r="R309" s="196" t="s">
        <v>649</v>
      </c>
      <c r="S309" s="196" t="s">
        <v>1257</v>
      </c>
      <c r="T309" s="199">
        <v>3.508E-2</v>
      </c>
      <c r="U309" s="199">
        <v>3.4799999999999998E-2</v>
      </c>
      <c r="V309" s="199">
        <v>9.0000000000000006E-5</v>
      </c>
      <c r="W309" s="199">
        <v>1.9000000000000001E-4</v>
      </c>
      <c r="X309" s="194"/>
      <c r="Y309" s="194"/>
      <c r="Z309" s="194"/>
      <c r="AA309" s="194"/>
      <c r="AB309" s="194"/>
      <c r="AC309" s="194"/>
      <c r="AD309" s="194"/>
      <c r="AE309" s="194"/>
      <c r="AF309" s="194"/>
      <c r="AG309" s="194"/>
      <c r="AH309" s="194"/>
      <c r="AI309" s="194"/>
      <c r="AJ309" s="194"/>
      <c r="AK309" s="194"/>
      <c r="AL309" s="194"/>
      <c r="AM309" s="194"/>
      <c r="AN309" s="194"/>
      <c r="AO309" s="194"/>
      <c r="AP309" s="194"/>
      <c r="AQ309" s="194"/>
      <c r="AR309" s="194"/>
      <c r="AS309" s="194"/>
      <c r="AT309" s="194"/>
      <c r="AU309" s="194"/>
      <c r="AV309" s="194"/>
      <c r="AW309" s="194"/>
      <c r="AX309" s="194"/>
      <c r="AY309" s="194"/>
    </row>
    <row r="310" spans="3:51">
      <c r="Q310" s="1018"/>
      <c r="R310" s="196" t="s">
        <v>1282</v>
      </c>
      <c r="S310" s="196" t="s">
        <v>1257</v>
      </c>
      <c r="T310" s="199">
        <v>3.0839999999999999E-2</v>
      </c>
      <c r="U310" s="199">
        <v>3.0589999999999999E-2</v>
      </c>
      <c r="V310" s="199">
        <v>8.0000000000000007E-5</v>
      </c>
      <c r="W310" s="199">
        <v>1.7000000000000001E-4</v>
      </c>
      <c r="X310" s="194"/>
      <c r="Y310" s="194"/>
      <c r="Z310" s="194"/>
      <c r="AA310" s="194"/>
      <c r="AB310" s="194"/>
      <c r="AC310" s="194"/>
      <c r="AD310" s="194"/>
      <c r="AE310" s="194"/>
      <c r="AF310" s="194"/>
      <c r="AG310" s="194"/>
      <c r="AH310" s="194"/>
      <c r="AI310" s="194"/>
      <c r="AJ310" s="194"/>
      <c r="AK310" s="194"/>
      <c r="AL310" s="194"/>
      <c r="AM310" s="194"/>
      <c r="AN310" s="194"/>
      <c r="AO310" s="194"/>
      <c r="AP310" s="194"/>
      <c r="AQ310" s="194"/>
      <c r="AR310" s="194"/>
      <c r="AS310" s="194"/>
      <c r="AT310" s="194"/>
      <c r="AU310" s="194"/>
      <c r="AV310" s="194"/>
      <c r="AW310" s="194"/>
      <c r="AX310" s="194"/>
      <c r="AY310" s="194"/>
    </row>
    <row r="314" spans="3:51">
      <c r="C314" t="s">
        <v>1283</v>
      </c>
      <c r="D314" t="s">
        <v>1284</v>
      </c>
      <c r="E314" t="s">
        <v>1285</v>
      </c>
      <c r="O314">
        <v>13</v>
      </c>
      <c r="P314">
        <v>14</v>
      </c>
      <c r="Q314">
        <v>15</v>
      </c>
    </row>
    <row r="315" spans="3:51">
      <c r="E315" t="s">
        <v>1286</v>
      </c>
    </row>
    <row r="316" spans="3:51">
      <c r="E316" t="s">
        <v>309</v>
      </c>
      <c r="F316" t="s">
        <v>236</v>
      </c>
      <c r="G316" t="s">
        <v>190</v>
      </c>
      <c r="H316" t="s">
        <v>1287</v>
      </c>
      <c r="I316" t="s">
        <v>1288</v>
      </c>
      <c r="J316" t="s">
        <v>1289</v>
      </c>
      <c r="K316" t="s">
        <v>1290</v>
      </c>
      <c r="O316" t="s">
        <v>1291</v>
      </c>
      <c r="P316" t="s">
        <v>1292</v>
      </c>
      <c r="Q316" t="s">
        <v>1293</v>
      </c>
    </row>
    <row r="317" spans="3:51">
      <c r="C317" t="s">
        <v>443</v>
      </c>
      <c r="D317" t="s">
        <v>1294</v>
      </c>
      <c r="E317">
        <v>1039.635</v>
      </c>
      <c r="F317">
        <v>8.2000000000000003E-2</v>
      </c>
      <c r="G317">
        <v>1.0999999999999999E-2</v>
      </c>
      <c r="H317">
        <v>1044.989</v>
      </c>
      <c r="I317">
        <v>5.47</v>
      </c>
      <c r="J317">
        <v>5.4189999999999996</v>
      </c>
      <c r="K317">
        <v>1.1000000000000001</v>
      </c>
      <c r="O317">
        <v>0.47157050358495006</v>
      </c>
      <c r="P317">
        <v>3.7194574340000008E-5</v>
      </c>
      <c r="Q317">
        <v>4.9895160700000003E-6</v>
      </c>
    </row>
    <row r="318" spans="3:51">
      <c r="C318" t="s">
        <v>466</v>
      </c>
      <c r="D318" t="s">
        <v>1295</v>
      </c>
      <c r="E318">
        <v>525.08299999999997</v>
      </c>
      <c r="F318">
        <v>2.4E-2</v>
      </c>
      <c r="G318">
        <v>4.0000000000000001E-3</v>
      </c>
      <c r="H318">
        <v>526.96299999999997</v>
      </c>
      <c r="I318">
        <v>7.7119999999999997</v>
      </c>
      <c r="J318">
        <v>7.8440000000000003</v>
      </c>
      <c r="K318">
        <v>0.67700000000000005</v>
      </c>
      <c r="O318">
        <v>0.23817364241671002</v>
      </c>
      <c r="P318">
        <v>1.0886216880000001E-5</v>
      </c>
      <c r="Q318">
        <v>1.8143694800000002E-6</v>
      </c>
    </row>
    <row r="319" spans="3:51">
      <c r="C319" t="s">
        <v>487</v>
      </c>
      <c r="D319" t="s">
        <v>1296</v>
      </c>
      <c r="E319">
        <v>1022.355</v>
      </c>
      <c r="F319">
        <v>7.6999999999999999E-2</v>
      </c>
      <c r="G319">
        <v>1.0999999999999999E-2</v>
      </c>
      <c r="H319">
        <v>1027.548</v>
      </c>
      <c r="I319">
        <v>0.73</v>
      </c>
      <c r="J319">
        <v>0.71899999999999997</v>
      </c>
      <c r="K319">
        <v>0.26300000000000001</v>
      </c>
      <c r="O319">
        <v>0.46373242743135007</v>
      </c>
      <c r="P319">
        <v>3.492661249E-5</v>
      </c>
      <c r="Q319">
        <v>4.9895160700000003E-6</v>
      </c>
    </row>
    <row r="320" spans="3:51">
      <c r="C320" t="s">
        <v>495</v>
      </c>
      <c r="D320" t="s">
        <v>1297</v>
      </c>
      <c r="E320">
        <v>496.536</v>
      </c>
      <c r="F320">
        <v>3.4000000000000002E-2</v>
      </c>
      <c r="G320">
        <v>4.0000000000000001E-3</v>
      </c>
      <c r="H320">
        <v>498.68599999999998</v>
      </c>
      <c r="I320">
        <v>0.46300000000000002</v>
      </c>
      <c r="J320">
        <v>0.41399999999999998</v>
      </c>
      <c r="K320">
        <v>4.7E-2</v>
      </c>
      <c r="O320">
        <v>0.22522494103032001</v>
      </c>
      <c r="P320">
        <v>1.5422140580000002E-5</v>
      </c>
      <c r="Q320">
        <v>1.8143694800000002E-6</v>
      </c>
    </row>
    <row r="321" spans="3:17">
      <c r="C321" t="s">
        <v>504</v>
      </c>
      <c r="D321" t="s">
        <v>1298</v>
      </c>
      <c r="E321">
        <v>931.67200000000003</v>
      </c>
      <c r="F321">
        <v>6.6000000000000003E-2</v>
      </c>
      <c r="G321">
        <v>8.9999999999999993E-3</v>
      </c>
      <c r="H321">
        <v>936.08199999999999</v>
      </c>
      <c r="I321">
        <v>0.54500000000000004</v>
      </c>
      <c r="J321">
        <v>0.55400000000000005</v>
      </c>
      <c r="K321">
        <v>0.82899999999999996</v>
      </c>
      <c r="O321">
        <v>0.42259931054264005</v>
      </c>
      <c r="P321">
        <v>2.9937096420000004E-5</v>
      </c>
      <c r="Q321">
        <v>4.0823313299999998E-6</v>
      </c>
    </row>
    <row r="322" spans="3:17">
      <c r="C322" t="s">
        <v>513</v>
      </c>
      <c r="D322" t="s">
        <v>1299</v>
      </c>
      <c r="E322">
        <v>931.84199999999998</v>
      </c>
      <c r="F322">
        <v>6.6000000000000003E-2</v>
      </c>
      <c r="G322">
        <v>8.9999999999999993E-3</v>
      </c>
      <c r="H322">
        <v>936.14499999999998</v>
      </c>
      <c r="I322">
        <v>0.35599999999999998</v>
      </c>
      <c r="J322">
        <v>0.36499999999999999</v>
      </c>
      <c r="K322">
        <v>0.27800000000000002</v>
      </c>
      <c r="O322">
        <v>0.42267642124554006</v>
      </c>
      <c r="P322">
        <v>2.9937096420000004E-5</v>
      </c>
      <c r="Q322">
        <v>4.0823313299999998E-6</v>
      </c>
    </row>
    <row r="323" spans="3:17">
      <c r="C323" t="s">
        <v>522</v>
      </c>
      <c r="D323" t="s">
        <v>1300</v>
      </c>
      <c r="E323">
        <v>1110.6890000000001</v>
      </c>
      <c r="F323">
        <v>0.11799999999999999</v>
      </c>
      <c r="G323">
        <v>1.7999999999999999E-2</v>
      </c>
      <c r="H323">
        <v>1119.077</v>
      </c>
      <c r="I323">
        <v>7.6379999999999999</v>
      </c>
      <c r="J323">
        <v>7.5819999999999999</v>
      </c>
      <c r="K323">
        <v>3.9689999999999999</v>
      </c>
      <c r="O323">
        <v>0.50380005584293008</v>
      </c>
      <c r="P323">
        <v>5.3523899660000004E-5</v>
      </c>
      <c r="Q323">
        <v>8.1646626599999996E-6</v>
      </c>
    </row>
    <row r="324" spans="3:17">
      <c r="C324" t="s">
        <v>529</v>
      </c>
      <c r="D324" t="s">
        <v>1301</v>
      </c>
      <c r="E324">
        <v>1669.943</v>
      </c>
      <c r="F324">
        <v>0.18</v>
      </c>
      <c r="G324">
        <v>2.7E-2</v>
      </c>
      <c r="H324">
        <v>1682.596</v>
      </c>
      <c r="I324">
        <v>3.5150000000000001</v>
      </c>
      <c r="J324">
        <v>3.7730000000000001</v>
      </c>
      <c r="K324">
        <v>7.9969999999999999</v>
      </c>
      <c r="O324">
        <v>0.75747340313491007</v>
      </c>
      <c r="P324">
        <v>8.1646626600000006E-5</v>
      </c>
      <c r="Q324">
        <v>1.224699399E-5</v>
      </c>
    </row>
    <row r="325" spans="3:17">
      <c r="C325" t="s">
        <v>537</v>
      </c>
      <c r="D325" t="s">
        <v>1302</v>
      </c>
      <c r="E325">
        <v>1678.0160000000001</v>
      </c>
      <c r="F325">
        <v>0.16900000000000001</v>
      </c>
      <c r="G325">
        <v>2.5000000000000001E-2</v>
      </c>
      <c r="H325">
        <v>1689.6510000000001</v>
      </c>
      <c r="I325">
        <v>0.88</v>
      </c>
      <c r="J325">
        <v>0.88700000000000001</v>
      </c>
      <c r="K325">
        <v>0.89100000000000001</v>
      </c>
      <c r="O325">
        <v>0.76113525433792006</v>
      </c>
      <c r="P325">
        <v>7.665711053000001E-5</v>
      </c>
      <c r="Q325">
        <v>1.1339809250000001E-5</v>
      </c>
    </row>
    <row r="326" spans="3:17">
      <c r="C326" t="s">
        <v>542</v>
      </c>
      <c r="D326" t="s">
        <v>1303</v>
      </c>
      <c r="E326">
        <v>1239.848</v>
      </c>
      <c r="F326">
        <v>0.13800000000000001</v>
      </c>
      <c r="G326">
        <v>0.02</v>
      </c>
      <c r="H326">
        <v>1249.201</v>
      </c>
      <c r="I326">
        <v>0.97699999999999998</v>
      </c>
      <c r="J326">
        <v>1.0089999999999999</v>
      </c>
      <c r="K326">
        <v>1.351</v>
      </c>
      <c r="O326">
        <v>0.56238559275976008</v>
      </c>
      <c r="P326">
        <v>6.2595747060000009E-5</v>
      </c>
      <c r="Q326">
        <v>9.0718474000000018E-6</v>
      </c>
    </row>
    <row r="327" spans="3:17">
      <c r="C327" t="s">
        <v>546</v>
      </c>
      <c r="D327" t="s">
        <v>1304</v>
      </c>
      <c r="E327">
        <v>522.31200000000001</v>
      </c>
      <c r="F327">
        <v>8.2000000000000003E-2</v>
      </c>
      <c r="G327">
        <v>1.0999999999999999E-2</v>
      </c>
      <c r="H327">
        <v>527.56399999999996</v>
      </c>
      <c r="I327">
        <v>0.38700000000000001</v>
      </c>
      <c r="J327">
        <v>0.35</v>
      </c>
      <c r="K327">
        <v>0.13600000000000001</v>
      </c>
      <c r="O327">
        <v>0.23691673795944002</v>
      </c>
      <c r="P327">
        <v>3.7194574340000008E-5</v>
      </c>
      <c r="Q327">
        <v>4.9895160700000003E-6</v>
      </c>
    </row>
    <row r="328" spans="3:17">
      <c r="C328" t="s">
        <v>553</v>
      </c>
      <c r="D328" t="s">
        <v>1305</v>
      </c>
      <c r="E328">
        <v>639.03700000000003</v>
      </c>
      <c r="F328">
        <v>6.4000000000000001E-2</v>
      </c>
      <c r="G328">
        <v>8.9999999999999993E-3</v>
      </c>
      <c r="H328">
        <v>643.36300000000006</v>
      </c>
      <c r="I328">
        <v>0.57999999999999996</v>
      </c>
      <c r="J328">
        <v>0.57699999999999996</v>
      </c>
      <c r="K328">
        <v>0.377</v>
      </c>
      <c r="O328">
        <v>0.28986230734769003</v>
      </c>
      <c r="P328">
        <v>2.9029911680000003E-5</v>
      </c>
      <c r="Q328">
        <v>4.0823313299999998E-6</v>
      </c>
    </row>
    <row r="329" spans="3:17">
      <c r="C329" t="s">
        <v>561</v>
      </c>
      <c r="D329" t="s">
        <v>1306</v>
      </c>
      <c r="E329">
        <v>596.41399999999999</v>
      </c>
      <c r="F329">
        <v>2.1999999999999999E-2</v>
      </c>
      <c r="G329">
        <v>3.0000000000000001E-3</v>
      </c>
      <c r="H329">
        <v>597.76199999999994</v>
      </c>
      <c r="I329">
        <v>0.251</v>
      </c>
      <c r="J329">
        <v>0.249</v>
      </c>
      <c r="K329">
        <v>2.5999999999999999E-2</v>
      </c>
      <c r="O329">
        <v>0.27052883976118003</v>
      </c>
      <c r="P329">
        <v>9.9790321400000006E-6</v>
      </c>
      <c r="Q329">
        <v>1.3607771100000001E-6</v>
      </c>
    </row>
    <row r="330" spans="3:17">
      <c r="C330" t="s">
        <v>568</v>
      </c>
      <c r="D330" t="s">
        <v>1307</v>
      </c>
      <c r="E330">
        <v>1184.241</v>
      </c>
      <c r="F330">
        <v>0.13900000000000001</v>
      </c>
      <c r="G330">
        <v>1.7999999999999999E-2</v>
      </c>
      <c r="H330">
        <v>1193.0909999999999</v>
      </c>
      <c r="I330">
        <v>0.86</v>
      </c>
      <c r="J330">
        <v>0.82799999999999996</v>
      </c>
      <c r="K330">
        <v>0.23400000000000001</v>
      </c>
      <c r="O330">
        <v>0.53716268184117</v>
      </c>
      <c r="P330">
        <v>6.3049339430000016E-5</v>
      </c>
      <c r="Q330">
        <v>8.1646626599999996E-6</v>
      </c>
    </row>
    <row r="331" spans="3:17">
      <c r="C331" t="s">
        <v>573</v>
      </c>
      <c r="D331" t="s">
        <v>1308</v>
      </c>
      <c r="E331">
        <v>253.11199999999999</v>
      </c>
      <c r="F331">
        <v>1.7999999999999999E-2</v>
      </c>
      <c r="G331">
        <v>2E-3</v>
      </c>
      <c r="H331">
        <v>253.88900000000001</v>
      </c>
      <c r="I331">
        <v>0.13600000000000001</v>
      </c>
      <c r="J331">
        <v>0.13600000000000001</v>
      </c>
      <c r="K331">
        <v>9.1999999999999998E-2</v>
      </c>
      <c r="O331">
        <v>0.11480967195544001</v>
      </c>
      <c r="P331">
        <v>8.1646626599999996E-6</v>
      </c>
      <c r="Q331">
        <v>9.071847400000001E-7</v>
      </c>
    </row>
    <row r="332" spans="3:17">
      <c r="C332" t="s">
        <v>579</v>
      </c>
      <c r="D332" t="s">
        <v>1309</v>
      </c>
      <c r="E332">
        <v>715.96600000000001</v>
      </c>
      <c r="F332">
        <v>6.0999999999999999E-2</v>
      </c>
      <c r="G332">
        <v>8.0000000000000002E-3</v>
      </c>
      <c r="H332">
        <v>719.97900000000004</v>
      </c>
      <c r="I332">
        <v>0.33300000000000002</v>
      </c>
      <c r="J332">
        <v>0.28799999999999998</v>
      </c>
      <c r="K332">
        <v>0.48</v>
      </c>
      <c r="O332">
        <v>0.32475671477942003</v>
      </c>
      <c r="P332">
        <v>2.7669134570000002E-5</v>
      </c>
      <c r="Q332">
        <v>3.6287389600000004E-6</v>
      </c>
    </row>
    <row r="333" spans="3:17">
      <c r="C333" t="s">
        <v>586</v>
      </c>
      <c r="D333" t="s">
        <v>1310</v>
      </c>
      <c r="E333">
        <v>1312.56</v>
      </c>
      <c r="F333">
        <v>0.129</v>
      </c>
      <c r="G333">
        <v>1.7999999999999999E-2</v>
      </c>
      <c r="H333">
        <v>1321.1849999999999</v>
      </c>
      <c r="I333">
        <v>0.79800000000000004</v>
      </c>
      <c r="J333">
        <v>0.79200000000000004</v>
      </c>
      <c r="K333">
        <v>1.296</v>
      </c>
      <c r="O333">
        <v>0.59536720116719999</v>
      </c>
      <c r="P333">
        <v>5.8513415730000006E-5</v>
      </c>
      <c r="Q333">
        <v>8.1646626599999996E-6</v>
      </c>
    </row>
    <row r="334" spans="3:17">
      <c r="C334" t="s">
        <v>592</v>
      </c>
      <c r="D334" t="s">
        <v>1311</v>
      </c>
      <c r="E334">
        <v>1166.096</v>
      </c>
      <c r="F334">
        <v>0.11700000000000001</v>
      </c>
      <c r="G334">
        <v>1.7000000000000001E-2</v>
      </c>
      <c r="H334">
        <v>1174.029</v>
      </c>
      <c r="I334">
        <v>0.82499999999999996</v>
      </c>
      <c r="J334">
        <v>0.65200000000000002</v>
      </c>
      <c r="K334">
        <v>0.92500000000000004</v>
      </c>
      <c r="O334">
        <v>0.52893224828752006</v>
      </c>
      <c r="P334">
        <v>5.307030729000001E-5</v>
      </c>
      <c r="Q334">
        <v>7.711070290000001E-6</v>
      </c>
    </row>
    <row r="335" spans="3:17">
      <c r="C335" t="s">
        <v>596</v>
      </c>
      <c r="D335" t="s">
        <v>1312</v>
      </c>
      <c r="E335">
        <v>1273.615</v>
      </c>
      <c r="F335">
        <v>0.123</v>
      </c>
      <c r="G335">
        <v>1.7999999999999999E-2</v>
      </c>
      <c r="H335">
        <v>1281.944</v>
      </c>
      <c r="I335">
        <v>0.67300000000000004</v>
      </c>
      <c r="J335">
        <v>0.68899999999999995</v>
      </c>
      <c r="K335">
        <v>0.41799999999999998</v>
      </c>
      <c r="O335">
        <v>0.57770204631755007</v>
      </c>
      <c r="P335">
        <v>5.5791861510000005E-5</v>
      </c>
      <c r="Q335">
        <v>8.1646626599999996E-6</v>
      </c>
    </row>
    <row r="336" spans="3:17">
      <c r="C336" t="s">
        <v>600</v>
      </c>
      <c r="D336" t="s">
        <v>1313</v>
      </c>
      <c r="E336">
        <v>1163.1869999999999</v>
      </c>
      <c r="F336">
        <v>0.124</v>
      </c>
      <c r="G336">
        <v>1.7999999999999999E-2</v>
      </c>
      <c r="H336">
        <v>1171.606</v>
      </c>
      <c r="I336">
        <v>0.64200000000000002</v>
      </c>
      <c r="J336">
        <v>0.72</v>
      </c>
      <c r="K336">
        <v>0.33300000000000002</v>
      </c>
      <c r="O336">
        <v>0.52761274808319003</v>
      </c>
      <c r="P336">
        <v>5.6245453880000005E-5</v>
      </c>
      <c r="Q336">
        <v>8.1646626599999996E-6</v>
      </c>
    </row>
    <row r="337" spans="3:17">
      <c r="C337" t="s">
        <v>605</v>
      </c>
      <c r="D337" t="s">
        <v>1314</v>
      </c>
      <c r="E337">
        <v>1166.5820000000001</v>
      </c>
      <c r="F337">
        <v>9.0999999999999998E-2</v>
      </c>
      <c r="G337">
        <v>1.2999999999999999E-2</v>
      </c>
      <c r="H337">
        <v>1172.7550000000001</v>
      </c>
      <c r="I337">
        <v>0.83199999999999996</v>
      </c>
      <c r="J337">
        <v>0.88200000000000001</v>
      </c>
      <c r="K337">
        <v>1.242</v>
      </c>
      <c r="O337">
        <v>0.52915269417934008</v>
      </c>
      <c r="P337">
        <v>4.1276905670000003E-5</v>
      </c>
      <c r="Q337">
        <v>5.89670081E-6</v>
      </c>
    </row>
    <row r="338" spans="3:17">
      <c r="C338" t="s">
        <v>611</v>
      </c>
      <c r="D338" t="s">
        <v>1315</v>
      </c>
      <c r="E338">
        <v>854.64499999999998</v>
      </c>
      <c r="F338">
        <v>5.5E-2</v>
      </c>
      <c r="G338">
        <v>8.0000000000000002E-3</v>
      </c>
      <c r="H338">
        <v>858.36900000000003</v>
      </c>
      <c r="I338">
        <v>0.61399999999999999</v>
      </c>
      <c r="J338">
        <v>0.67100000000000004</v>
      </c>
      <c r="K338">
        <v>0.96</v>
      </c>
      <c r="O338">
        <v>0.38766045105865005</v>
      </c>
      <c r="P338">
        <v>2.4947580350000004E-5</v>
      </c>
      <c r="Q338">
        <v>3.6287389600000004E-6</v>
      </c>
    </row>
    <row r="339" spans="3:17">
      <c r="C339" t="s">
        <v>615</v>
      </c>
      <c r="D339" t="s">
        <v>1316</v>
      </c>
      <c r="E339">
        <v>1664.15</v>
      </c>
      <c r="F339">
        <v>0.185</v>
      </c>
      <c r="G339">
        <v>2.7E-2</v>
      </c>
      <c r="H339">
        <v>1676.7819999999999</v>
      </c>
      <c r="I339">
        <v>1.06</v>
      </c>
      <c r="J339">
        <v>0.79100000000000004</v>
      </c>
      <c r="K339">
        <v>2.488</v>
      </c>
      <c r="O339">
        <v>0.75484574253550007</v>
      </c>
      <c r="P339">
        <v>8.3914588450000001E-5</v>
      </c>
      <c r="Q339">
        <v>1.224699399E-5</v>
      </c>
    </row>
    <row r="340" spans="3:17">
      <c r="C340" t="s">
        <v>620</v>
      </c>
      <c r="D340" t="s">
        <v>1317</v>
      </c>
      <c r="E340">
        <v>1027.9280000000001</v>
      </c>
      <c r="F340">
        <v>8.1000000000000003E-2</v>
      </c>
      <c r="G340">
        <v>1.2E-2</v>
      </c>
      <c r="H340">
        <v>1033.471</v>
      </c>
      <c r="I340">
        <v>0.496</v>
      </c>
      <c r="J340">
        <v>0.433</v>
      </c>
      <c r="K340">
        <v>0.29699999999999999</v>
      </c>
      <c r="O340">
        <v>0.46626029770936012</v>
      </c>
      <c r="P340">
        <v>3.6740981970000007E-5</v>
      </c>
      <c r="Q340">
        <v>5.4431084400000006E-6</v>
      </c>
    </row>
    <row r="341" spans="3:17">
      <c r="C341" t="s">
        <v>625</v>
      </c>
      <c r="D341" t="s">
        <v>1318</v>
      </c>
      <c r="E341">
        <v>1031.537</v>
      </c>
      <c r="F341">
        <v>9.7000000000000003E-2</v>
      </c>
      <c r="G341">
        <v>1.4E-2</v>
      </c>
      <c r="H341">
        <v>1038.127</v>
      </c>
      <c r="I341">
        <v>0.55100000000000005</v>
      </c>
      <c r="J341">
        <v>0.504</v>
      </c>
      <c r="K341">
        <v>0.61899999999999999</v>
      </c>
      <c r="O341">
        <v>0.46789731257269007</v>
      </c>
      <c r="P341">
        <v>4.3998459890000005E-5</v>
      </c>
      <c r="Q341">
        <v>6.3502931800000011E-6</v>
      </c>
    </row>
    <row r="342" spans="3:17">
      <c r="C342" t="s">
        <v>629</v>
      </c>
      <c r="D342" t="s">
        <v>1319</v>
      </c>
      <c r="E342">
        <v>743.32799999999997</v>
      </c>
      <c r="F342">
        <v>6.7000000000000004E-2</v>
      </c>
      <c r="G342">
        <v>8.9999999999999993E-3</v>
      </c>
      <c r="H342">
        <v>747.51300000000003</v>
      </c>
      <c r="I342">
        <v>0.437</v>
      </c>
      <c r="J342">
        <v>0.42599999999999999</v>
      </c>
      <c r="K342">
        <v>0.26300000000000001</v>
      </c>
      <c r="O342">
        <v>0.33716790920736001</v>
      </c>
      <c r="P342">
        <v>3.0390688790000004E-5</v>
      </c>
      <c r="Q342">
        <v>4.0823313299999998E-6</v>
      </c>
    </row>
    <row r="343" spans="3:17">
      <c r="C343" t="s">
        <v>635</v>
      </c>
      <c r="E343">
        <v>947.18200000000002</v>
      </c>
      <c r="F343">
        <v>8.5000000000000006E-2</v>
      </c>
      <c r="G343">
        <v>1.2E-2</v>
      </c>
      <c r="H343">
        <v>952.87699999999995</v>
      </c>
      <c r="I343">
        <v>0.61899999999999999</v>
      </c>
      <c r="J343">
        <v>0.57999999999999996</v>
      </c>
      <c r="K343">
        <v>0.67500000000000004</v>
      </c>
      <c r="O343">
        <v>0.42963452820134007</v>
      </c>
      <c r="P343">
        <v>3.8555351450000009E-5</v>
      </c>
      <c r="Q343">
        <v>5.4431084400000006E-6</v>
      </c>
    </row>
    <row r="346" spans="3:17">
      <c r="C346" t="s">
        <v>646</v>
      </c>
      <c r="O346">
        <v>0.81</v>
      </c>
      <c r="P346">
        <v>0</v>
      </c>
      <c r="Q346">
        <v>0</v>
      </c>
    </row>
    <row r="347" spans="3:17">
      <c r="C347" t="s">
        <v>652</v>
      </c>
      <c r="O347">
        <v>1.02</v>
      </c>
      <c r="P347">
        <v>0</v>
      </c>
      <c r="Q347">
        <v>0</v>
      </c>
    </row>
    <row r="348" spans="3:17">
      <c r="C348" t="s">
        <v>659</v>
      </c>
      <c r="O348">
        <v>0.81</v>
      </c>
      <c r="P348">
        <v>0</v>
      </c>
      <c r="Q348">
        <v>0</v>
      </c>
    </row>
    <row r="349" spans="3:17">
      <c r="C349" t="s">
        <v>665</v>
      </c>
      <c r="O349">
        <v>0.44</v>
      </c>
      <c r="P349">
        <v>0</v>
      </c>
      <c r="Q349">
        <v>0</v>
      </c>
    </row>
    <row r="350" spans="3:17">
      <c r="C350" t="s">
        <v>671</v>
      </c>
      <c r="O350">
        <v>0.69</v>
      </c>
      <c r="P350">
        <v>0</v>
      </c>
      <c r="Q350">
        <v>0</v>
      </c>
    </row>
    <row r="351" spans="3:17">
      <c r="C351" t="s">
        <v>677</v>
      </c>
      <c r="O351">
        <v>0.15</v>
      </c>
      <c r="P351">
        <v>0</v>
      </c>
      <c r="Q351">
        <v>0</v>
      </c>
    </row>
    <row r="352" spans="3:17">
      <c r="C352" t="s">
        <v>682</v>
      </c>
      <c r="O352">
        <v>0.63</v>
      </c>
      <c r="P352">
        <v>0</v>
      </c>
      <c r="Q352">
        <v>0</v>
      </c>
    </row>
    <row r="357" spans="3:17">
      <c r="D357" t="s">
        <v>1320</v>
      </c>
      <c r="I357" t="s">
        <v>1321</v>
      </c>
      <c r="K357">
        <v>2016</v>
      </c>
      <c r="L357" t="s">
        <v>1322</v>
      </c>
    </row>
    <row r="358" spans="3:17">
      <c r="C358" t="s">
        <v>1323</v>
      </c>
      <c r="D358" t="s">
        <v>1324</v>
      </c>
      <c r="I358">
        <v>140</v>
      </c>
      <c r="K358">
        <v>140</v>
      </c>
      <c r="L358">
        <v>130</v>
      </c>
    </row>
    <row r="359" spans="3:17">
      <c r="C359" t="s">
        <v>1323</v>
      </c>
      <c r="D359" t="s">
        <v>1325</v>
      </c>
      <c r="I359">
        <v>0.01</v>
      </c>
      <c r="K359">
        <v>0</v>
      </c>
      <c r="L359">
        <v>0</v>
      </c>
    </row>
    <row r="360" spans="3:17">
      <c r="C360" t="s">
        <v>1323</v>
      </c>
      <c r="D360" t="s">
        <v>1326</v>
      </c>
      <c r="I360">
        <v>3.0000000000000001E-3</v>
      </c>
      <c r="K360">
        <v>0</v>
      </c>
      <c r="L360">
        <v>0</v>
      </c>
      <c r="O360">
        <v>130</v>
      </c>
      <c r="P360">
        <v>0</v>
      </c>
      <c r="Q360">
        <v>0</v>
      </c>
    </row>
    <row r="361" spans="3:17">
      <c r="C361" t="s">
        <v>1323</v>
      </c>
      <c r="D361" s="208" t="s">
        <v>1327</v>
      </c>
      <c r="E361" s="208"/>
      <c r="F361" s="208"/>
      <c r="G361" s="208"/>
      <c r="H361" s="208"/>
      <c r="I361" s="208">
        <v>140</v>
      </c>
      <c r="J361" s="208"/>
      <c r="K361" s="208">
        <v>140</v>
      </c>
      <c r="L361" s="208">
        <v>130</v>
      </c>
      <c r="O361">
        <v>0.13</v>
      </c>
      <c r="P361">
        <v>0</v>
      </c>
      <c r="Q361">
        <v>0</v>
      </c>
    </row>
    <row r="362" spans="3:17">
      <c r="C362" t="s">
        <v>1328</v>
      </c>
      <c r="D362" t="s">
        <v>1324</v>
      </c>
      <c r="I362">
        <v>37</v>
      </c>
      <c r="K362">
        <v>37</v>
      </c>
      <c r="L362">
        <v>40</v>
      </c>
    </row>
    <row r="363" spans="3:17">
      <c r="C363" t="s">
        <v>1328</v>
      </c>
      <c r="D363" t="s">
        <v>1325</v>
      </c>
      <c r="I363">
        <v>5.9999999999999995E-4</v>
      </c>
      <c r="K363">
        <v>5.9999999999999995E-4</v>
      </c>
      <c r="L363">
        <v>5.9999999999999995E-4</v>
      </c>
    </row>
    <row r="364" spans="3:17">
      <c r="C364" t="s">
        <v>1328</v>
      </c>
      <c r="D364" t="s">
        <v>1326</v>
      </c>
      <c r="I364">
        <v>1E-3</v>
      </c>
      <c r="K364">
        <v>1E-3</v>
      </c>
      <c r="L364">
        <v>1E-3</v>
      </c>
      <c r="O364">
        <v>40</v>
      </c>
      <c r="P364">
        <v>5.9999999999999995E-4</v>
      </c>
      <c r="Q364">
        <v>1E-3</v>
      </c>
    </row>
    <row r="365" spans="3:17">
      <c r="C365" t="s">
        <v>692</v>
      </c>
      <c r="D365" s="208" t="s">
        <v>1327</v>
      </c>
      <c r="E365" s="208"/>
      <c r="F365" s="208"/>
      <c r="G365" s="208"/>
      <c r="H365" s="208"/>
      <c r="I365" s="208">
        <v>37</v>
      </c>
      <c r="J365" s="208"/>
      <c r="K365" s="208">
        <v>37</v>
      </c>
      <c r="L365" s="208">
        <v>40</v>
      </c>
      <c r="O365">
        <v>0.04</v>
      </c>
      <c r="P365">
        <v>5.9999999999999997E-7</v>
      </c>
      <c r="Q365">
        <v>9.9999999999999995E-7</v>
      </c>
    </row>
    <row r="366" spans="3:17">
      <c r="C366" t="s">
        <v>1329</v>
      </c>
      <c r="D366" t="s">
        <v>1324</v>
      </c>
      <c r="I366">
        <v>25</v>
      </c>
      <c r="K366">
        <v>7</v>
      </c>
      <c r="L366">
        <v>14</v>
      </c>
    </row>
    <row r="367" spans="3:17">
      <c r="C367" t="s">
        <v>1329</v>
      </c>
      <c r="D367" t="s">
        <v>1325</v>
      </c>
      <c r="I367">
        <v>5.0000000000000001E-4</v>
      </c>
      <c r="K367">
        <v>2.0000000000000001E-4</v>
      </c>
      <c r="L367">
        <v>5.0000000000000001E-4</v>
      </c>
    </row>
    <row r="368" spans="3:17">
      <c r="C368" t="s">
        <v>1329</v>
      </c>
      <c r="D368" t="s">
        <v>1326</v>
      </c>
      <c r="I368">
        <v>5.0000000000000001E-4</v>
      </c>
      <c r="K368">
        <v>1E-4</v>
      </c>
      <c r="L368">
        <v>2.0000000000000001E-4</v>
      </c>
      <c r="O368">
        <v>14</v>
      </c>
      <c r="P368">
        <v>5.0000000000000001E-4</v>
      </c>
      <c r="Q368">
        <v>2.0000000000000001E-4</v>
      </c>
    </row>
    <row r="369" spans="3:17">
      <c r="C369" t="s">
        <v>696</v>
      </c>
      <c r="D369" s="208" t="s">
        <v>1327</v>
      </c>
      <c r="E369" s="208"/>
      <c r="F369" s="208"/>
      <c r="G369" s="208"/>
      <c r="H369" s="208"/>
      <c r="I369" s="208">
        <v>25</v>
      </c>
      <c r="J369" s="208"/>
      <c r="K369" s="208">
        <v>7</v>
      </c>
      <c r="L369" s="208">
        <v>14</v>
      </c>
      <c r="O369">
        <v>1.4E-2</v>
      </c>
      <c r="P369">
        <v>4.9999999999999998E-7</v>
      </c>
      <c r="Q369">
        <v>2.0000000000000002E-7</v>
      </c>
    </row>
    <row r="370" spans="3:17">
      <c r="C370" t="s">
        <v>1330</v>
      </c>
      <c r="D370" t="s">
        <v>1324</v>
      </c>
      <c r="I370">
        <v>670</v>
      </c>
      <c r="K370">
        <v>700</v>
      </c>
      <c r="L370">
        <v>670</v>
      </c>
    </row>
    <row r="371" spans="3:17">
      <c r="C371" t="s">
        <v>1330</v>
      </c>
      <c r="D371" t="s">
        <v>1325</v>
      </c>
      <c r="I371">
        <v>0.02</v>
      </c>
      <c r="K371">
        <v>0.03</v>
      </c>
      <c r="L371">
        <v>0.03</v>
      </c>
    </row>
    <row r="372" spans="3:17">
      <c r="C372" t="s">
        <v>1330</v>
      </c>
      <c r="D372" t="s">
        <v>1326</v>
      </c>
      <c r="I372">
        <v>0.01</v>
      </c>
      <c r="K372">
        <v>0.01</v>
      </c>
      <c r="L372">
        <v>0.01</v>
      </c>
      <c r="O372">
        <v>670</v>
      </c>
      <c r="P372">
        <v>0.03</v>
      </c>
      <c r="Q372">
        <v>0.01</v>
      </c>
    </row>
    <row r="373" spans="3:17">
      <c r="C373" t="s">
        <v>700</v>
      </c>
      <c r="D373" s="208" t="s">
        <v>1327</v>
      </c>
      <c r="E373" s="208"/>
      <c r="F373" s="208"/>
      <c r="G373" s="208"/>
      <c r="H373" s="208"/>
      <c r="I373" s="208">
        <v>680</v>
      </c>
      <c r="J373" s="208"/>
      <c r="K373" s="208">
        <v>670</v>
      </c>
      <c r="L373" s="208">
        <v>670</v>
      </c>
      <c r="O373">
        <v>0.67</v>
      </c>
      <c r="P373">
        <v>2.9999999999999997E-5</v>
      </c>
      <c r="Q373">
        <v>1.0000000000000001E-5</v>
      </c>
    </row>
    <row r="374" spans="3:17">
      <c r="C374" t="s">
        <v>1331</v>
      </c>
      <c r="D374" t="s">
        <v>1324</v>
      </c>
      <c r="I374">
        <v>330</v>
      </c>
      <c r="K374">
        <v>320</v>
      </c>
      <c r="L374">
        <v>310</v>
      </c>
    </row>
    <row r="375" spans="3:17">
      <c r="C375" t="s">
        <v>1331</v>
      </c>
      <c r="D375" t="s">
        <v>1325</v>
      </c>
      <c r="I375">
        <v>0.02</v>
      </c>
      <c r="K375">
        <v>0.02</v>
      </c>
      <c r="L375">
        <v>0.02</v>
      </c>
    </row>
    <row r="376" spans="3:17">
      <c r="C376" t="s">
        <v>1331</v>
      </c>
      <c r="D376" t="s">
        <v>1326</v>
      </c>
      <c r="I376">
        <v>5.0000000000000001E-3</v>
      </c>
      <c r="K376">
        <v>5.0000000000000001E-3</v>
      </c>
      <c r="L376">
        <v>4.0000000000000001E-3</v>
      </c>
      <c r="O376">
        <v>310</v>
      </c>
      <c r="P376">
        <v>0.02</v>
      </c>
      <c r="Q376">
        <v>4.0000000000000001E-3</v>
      </c>
    </row>
    <row r="377" spans="3:17">
      <c r="C377" t="s">
        <v>704</v>
      </c>
      <c r="D377" s="208" t="s">
        <v>1327</v>
      </c>
      <c r="E377" s="208"/>
      <c r="F377" s="208"/>
      <c r="G377" s="208"/>
      <c r="H377" s="208"/>
      <c r="I377" s="208">
        <v>340</v>
      </c>
      <c r="J377" s="208"/>
      <c r="K377" s="208">
        <v>320</v>
      </c>
      <c r="L377" s="208">
        <v>310</v>
      </c>
      <c r="O377">
        <v>0.31</v>
      </c>
      <c r="P377">
        <v>2.0000000000000002E-5</v>
      </c>
      <c r="Q377">
        <v>3.9999999999999998E-6</v>
      </c>
    </row>
    <row r="378" spans="3:17">
      <c r="C378" t="s">
        <v>1332</v>
      </c>
      <c r="D378" t="s">
        <v>1324</v>
      </c>
      <c r="I378">
        <v>1.2</v>
      </c>
      <c r="K378">
        <v>1.2</v>
      </c>
      <c r="L378">
        <v>1.2</v>
      </c>
    </row>
    <row r="379" spans="3:17">
      <c r="C379" t="s">
        <v>1332</v>
      </c>
      <c r="D379" t="s">
        <v>1325</v>
      </c>
      <c r="I379">
        <v>0</v>
      </c>
      <c r="K379">
        <v>0</v>
      </c>
      <c r="L379">
        <v>0</v>
      </c>
    </row>
    <row r="380" spans="3:17">
      <c r="C380" t="s">
        <v>1332</v>
      </c>
      <c r="D380" t="s">
        <v>1326</v>
      </c>
      <c r="I380">
        <v>1E-4</v>
      </c>
      <c r="K380">
        <v>1E-4</v>
      </c>
      <c r="L380">
        <v>1E-4</v>
      </c>
      <c r="O380">
        <v>1.2</v>
      </c>
      <c r="P380">
        <v>0</v>
      </c>
      <c r="Q380">
        <v>1E-4</v>
      </c>
    </row>
    <row r="381" spans="3:17">
      <c r="C381" t="s">
        <v>707</v>
      </c>
      <c r="D381" s="208" t="s">
        <v>1327</v>
      </c>
      <c r="E381" s="208"/>
      <c r="F381" s="208"/>
      <c r="G381" s="208"/>
      <c r="H381" s="208"/>
      <c r="I381" s="208">
        <v>1.3</v>
      </c>
      <c r="J381" s="208"/>
      <c r="K381" s="208">
        <v>1.3</v>
      </c>
      <c r="L381" s="208">
        <v>1.3</v>
      </c>
      <c r="O381">
        <v>1.1999999999999999E-3</v>
      </c>
      <c r="P381">
        <v>0</v>
      </c>
      <c r="Q381">
        <v>1.0000000000000001E-7</v>
      </c>
    </row>
    <row r="382" spans="3:17">
      <c r="C382" t="s">
        <v>1333</v>
      </c>
      <c r="D382" t="s">
        <v>1324</v>
      </c>
      <c r="I382">
        <v>35</v>
      </c>
      <c r="K382">
        <v>36</v>
      </c>
      <c r="L382">
        <v>17</v>
      </c>
    </row>
    <row r="383" spans="3:17">
      <c r="C383" t="s">
        <v>1333</v>
      </c>
      <c r="D383" t="s">
        <v>1325</v>
      </c>
      <c r="I383">
        <v>0.01</v>
      </c>
      <c r="K383">
        <v>0.01</v>
      </c>
      <c r="L383">
        <v>0</v>
      </c>
    </row>
    <row r="384" spans="3:17">
      <c r="C384" t="s">
        <v>1333</v>
      </c>
      <c r="D384" t="s">
        <v>1326</v>
      </c>
      <c r="I384">
        <v>1E-3</v>
      </c>
      <c r="K384">
        <v>1E-3</v>
      </c>
      <c r="L384">
        <v>1E-3</v>
      </c>
      <c r="O384">
        <v>17</v>
      </c>
      <c r="P384">
        <v>0</v>
      </c>
      <c r="Q384">
        <v>1E-3</v>
      </c>
    </row>
    <row r="385" spans="3:17">
      <c r="C385" t="s">
        <v>709</v>
      </c>
      <c r="D385" s="208" t="s">
        <v>1327</v>
      </c>
      <c r="E385" s="208"/>
      <c r="F385" s="208"/>
      <c r="G385" s="208"/>
      <c r="H385" s="208"/>
      <c r="I385" s="208">
        <v>36</v>
      </c>
      <c r="J385" s="208"/>
      <c r="K385" s="208">
        <v>37</v>
      </c>
      <c r="L385" s="208">
        <v>17</v>
      </c>
      <c r="O385">
        <v>1.7000000000000001E-2</v>
      </c>
      <c r="P385">
        <v>0</v>
      </c>
      <c r="Q385">
        <v>9.9999999999999995E-7</v>
      </c>
    </row>
    <row r="386" spans="3:17">
      <c r="C386" t="s">
        <v>1334</v>
      </c>
      <c r="D386" t="s">
        <v>1324</v>
      </c>
      <c r="I386">
        <v>1.9</v>
      </c>
      <c r="K386">
        <v>1.9</v>
      </c>
      <c r="L386">
        <v>1.9</v>
      </c>
    </row>
    <row r="387" spans="3:17">
      <c r="C387" t="s">
        <v>1334</v>
      </c>
      <c r="D387" t="s">
        <v>1325</v>
      </c>
      <c r="I387">
        <v>1E-4</v>
      </c>
      <c r="K387">
        <v>1E-4</v>
      </c>
      <c r="L387">
        <v>1E-4</v>
      </c>
    </row>
    <row r="388" spans="3:17">
      <c r="C388" t="s">
        <v>1334</v>
      </c>
      <c r="D388" t="s">
        <v>1326</v>
      </c>
      <c r="I388">
        <v>1E-4</v>
      </c>
      <c r="K388">
        <v>1E-4</v>
      </c>
      <c r="L388">
        <v>1E-4</v>
      </c>
      <c r="O388">
        <v>1.9</v>
      </c>
      <c r="P388">
        <v>1E-4</v>
      </c>
      <c r="Q388">
        <v>1E-4</v>
      </c>
    </row>
    <row r="389" spans="3:17">
      <c r="C389" t="s">
        <v>713</v>
      </c>
      <c r="D389" s="208" t="s">
        <v>1327</v>
      </c>
      <c r="E389" s="208"/>
      <c r="F389" s="208"/>
      <c r="G389" s="208"/>
      <c r="H389" s="208"/>
      <c r="I389" s="208">
        <v>1.9</v>
      </c>
      <c r="J389" s="208"/>
      <c r="K389" s="208">
        <v>1.9</v>
      </c>
      <c r="L389" s="208">
        <v>1.9</v>
      </c>
      <c r="O389">
        <v>1.9E-3</v>
      </c>
      <c r="P389">
        <v>1.0000000000000001E-7</v>
      </c>
      <c r="Q389">
        <v>1.0000000000000001E-7</v>
      </c>
    </row>
    <row r="390" spans="3:17">
      <c r="C390" t="s">
        <v>1335</v>
      </c>
      <c r="D390" t="s">
        <v>1324</v>
      </c>
      <c r="I390">
        <v>650</v>
      </c>
      <c r="K390">
        <v>650</v>
      </c>
      <c r="L390">
        <v>650</v>
      </c>
    </row>
    <row r="391" spans="3:17">
      <c r="C391" t="s">
        <v>1335</v>
      </c>
      <c r="D391" t="s">
        <v>1325</v>
      </c>
      <c r="I391">
        <v>0.05</v>
      </c>
      <c r="K391">
        <v>0.05</v>
      </c>
      <c r="L391">
        <v>0.05</v>
      </c>
    </row>
    <row r="392" spans="3:17">
      <c r="C392" t="s">
        <v>1335</v>
      </c>
      <c r="D392" t="s">
        <v>1326</v>
      </c>
      <c r="I392">
        <v>0.02</v>
      </c>
      <c r="K392">
        <v>0.02</v>
      </c>
      <c r="L392">
        <v>0.02</v>
      </c>
      <c r="O392">
        <v>650</v>
      </c>
      <c r="P392">
        <v>0.05</v>
      </c>
      <c r="Q392">
        <v>0.02</v>
      </c>
    </row>
    <row r="393" spans="3:17">
      <c r="C393" t="s">
        <v>717</v>
      </c>
      <c r="D393" s="208" t="s">
        <v>1327</v>
      </c>
      <c r="E393" s="208"/>
      <c r="F393" s="208"/>
      <c r="G393" s="208"/>
      <c r="H393" s="208"/>
      <c r="I393" s="208">
        <v>660</v>
      </c>
      <c r="J393" s="208"/>
      <c r="K393" s="208">
        <v>660</v>
      </c>
      <c r="L393" s="208">
        <v>660</v>
      </c>
      <c r="O393">
        <v>0.65</v>
      </c>
      <c r="P393">
        <v>5.0000000000000002E-5</v>
      </c>
      <c r="Q393">
        <v>2.0000000000000002E-5</v>
      </c>
    </row>
    <row r="394" spans="3:17">
      <c r="C394" t="s">
        <v>1336</v>
      </c>
      <c r="D394" t="s">
        <v>1324</v>
      </c>
      <c r="I394">
        <v>760</v>
      </c>
      <c r="K394">
        <v>740</v>
      </c>
      <c r="L394">
        <v>750</v>
      </c>
    </row>
    <row r="395" spans="3:17">
      <c r="C395" t="s">
        <v>1336</v>
      </c>
      <c r="D395" t="s">
        <v>1325</v>
      </c>
      <c r="I395">
        <v>0.04</v>
      </c>
      <c r="K395">
        <v>0.04</v>
      </c>
      <c r="L395">
        <v>0.04</v>
      </c>
    </row>
    <row r="396" spans="3:17">
      <c r="C396" t="s">
        <v>1336</v>
      </c>
      <c r="D396" t="s">
        <v>1326</v>
      </c>
      <c r="I396">
        <v>0.01</v>
      </c>
      <c r="K396">
        <v>0.01</v>
      </c>
      <c r="L396">
        <v>0.01</v>
      </c>
      <c r="O396">
        <v>750</v>
      </c>
      <c r="P396">
        <v>0.04</v>
      </c>
      <c r="Q396">
        <v>0.01</v>
      </c>
    </row>
    <row r="397" spans="3:17">
      <c r="C397" t="s">
        <v>721</v>
      </c>
      <c r="D397" s="208" t="s">
        <v>1327</v>
      </c>
      <c r="E397" s="208"/>
      <c r="F397" s="208"/>
      <c r="G397" s="208"/>
      <c r="H397" s="208"/>
      <c r="I397" s="208">
        <v>760</v>
      </c>
      <c r="J397" s="208"/>
      <c r="K397" s="208">
        <v>750</v>
      </c>
      <c r="L397" s="208">
        <v>750</v>
      </c>
      <c r="O397">
        <v>0.75</v>
      </c>
      <c r="P397">
        <v>4.0000000000000003E-5</v>
      </c>
      <c r="Q397">
        <v>1.0000000000000001E-5</v>
      </c>
    </row>
    <row r="398" spans="3:17">
      <c r="C398" t="s">
        <v>1337</v>
      </c>
      <c r="D398" t="s">
        <v>1324</v>
      </c>
      <c r="I398">
        <v>10.8</v>
      </c>
      <c r="K398">
        <v>11.2</v>
      </c>
      <c r="L398">
        <v>9</v>
      </c>
    </row>
    <row r="399" spans="3:17">
      <c r="C399" t="s">
        <v>1337</v>
      </c>
      <c r="D399" t="s">
        <v>1325</v>
      </c>
      <c r="I399">
        <v>3.0000000000000001E-3</v>
      </c>
      <c r="K399">
        <v>3.0000000000000001E-3</v>
      </c>
      <c r="L399">
        <v>3.0000000000000001E-3</v>
      </c>
    </row>
    <row r="400" spans="3:17">
      <c r="C400" t="s">
        <v>1337</v>
      </c>
      <c r="D400" t="s">
        <v>1326</v>
      </c>
      <c r="I400">
        <v>8.0000000000000004E-4</v>
      </c>
      <c r="K400">
        <v>8.0000000000000004E-4</v>
      </c>
      <c r="L400">
        <v>6.9999999999999999E-4</v>
      </c>
      <c r="O400">
        <v>9</v>
      </c>
      <c r="P400">
        <v>3.0000000000000001E-3</v>
      </c>
      <c r="Q400">
        <v>6.9999999999999999E-4</v>
      </c>
    </row>
    <row r="401" spans="3:17">
      <c r="C401" t="s">
        <v>724</v>
      </c>
      <c r="D401" s="208" t="s">
        <v>1327</v>
      </c>
      <c r="E401" s="208"/>
      <c r="F401" s="208"/>
      <c r="G401" s="208"/>
      <c r="H401" s="208"/>
      <c r="I401" s="208">
        <v>11.1</v>
      </c>
      <c r="J401" s="208"/>
      <c r="K401" s="208">
        <v>11</v>
      </c>
      <c r="L401" s="208">
        <v>9.3000000000000007</v>
      </c>
      <c r="O401">
        <v>8.9999999999999993E-3</v>
      </c>
      <c r="P401">
        <v>3.0000000000000001E-6</v>
      </c>
      <c r="Q401">
        <v>6.9999999999999997E-7</v>
      </c>
    </row>
    <row r="402" spans="3:17">
      <c r="C402" t="s">
        <v>1338</v>
      </c>
      <c r="D402" t="s">
        <v>1324</v>
      </c>
      <c r="I402">
        <v>43</v>
      </c>
      <c r="K402">
        <v>43</v>
      </c>
      <c r="L402">
        <v>48</v>
      </c>
    </row>
    <row r="403" spans="3:17">
      <c r="C403" t="s">
        <v>1338</v>
      </c>
      <c r="D403" t="s">
        <v>1325</v>
      </c>
      <c r="I403">
        <v>3.0000000000000001E-3</v>
      </c>
      <c r="K403">
        <v>3.0000000000000001E-3</v>
      </c>
      <c r="L403">
        <v>4.0000000000000001E-3</v>
      </c>
    </row>
    <row r="404" spans="3:17">
      <c r="C404" t="s">
        <v>1338</v>
      </c>
      <c r="D404" t="s">
        <v>1326</v>
      </c>
      <c r="I404">
        <v>0.01</v>
      </c>
      <c r="K404">
        <v>0.01</v>
      </c>
      <c r="L404">
        <v>0.01</v>
      </c>
      <c r="O404">
        <v>48</v>
      </c>
      <c r="P404">
        <v>4.0000000000000001E-3</v>
      </c>
      <c r="Q404">
        <v>0.01</v>
      </c>
    </row>
    <row r="405" spans="3:17">
      <c r="C405" t="s">
        <v>729</v>
      </c>
      <c r="D405" s="208" t="s">
        <v>1327</v>
      </c>
      <c r="E405" s="208"/>
      <c r="F405" s="208"/>
      <c r="G405" s="208"/>
      <c r="H405" s="208"/>
      <c r="I405" s="208">
        <v>45</v>
      </c>
      <c r="J405" s="208"/>
      <c r="K405" s="208">
        <v>45</v>
      </c>
      <c r="L405" s="208">
        <v>50</v>
      </c>
      <c r="O405">
        <v>4.8000000000000001E-2</v>
      </c>
      <c r="P405">
        <v>3.9999999999999998E-6</v>
      </c>
      <c r="Q405">
        <v>1.0000000000000001E-5</v>
      </c>
    </row>
    <row r="406" spans="3:17">
      <c r="C406" t="s">
        <v>1339</v>
      </c>
      <c r="D406" t="s">
        <v>1324</v>
      </c>
      <c r="I406">
        <v>190</v>
      </c>
      <c r="K406">
        <v>190</v>
      </c>
      <c r="L406">
        <v>170</v>
      </c>
    </row>
    <row r="407" spans="3:17">
      <c r="C407" t="s">
        <v>1339</v>
      </c>
      <c r="D407" t="s">
        <v>1325</v>
      </c>
      <c r="I407">
        <v>0.01</v>
      </c>
      <c r="K407">
        <v>0.01</v>
      </c>
      <c r="L407">
        <v>0.01</v>
      </c>
    </row>
    <row r="408" spans="3:17">
      <c r="C408" t="s">
        <v>1339</v>
      </c>
      <c r="D408" t="s">
        <v>1326</v>
      </c>
      <c r="I408">
        <v>0.03</v>
      </c>
      <c r="K408">
        <v>0.03</v>
      </c>
      <c r="L408">
        <v>0.02</v>
      </c>
      <c r="O408">
        <v>170</v>
      </c>
      <c r="P408">
        <v>0.01</v>
      </c>
      <c r="Q408">
        <v>0.02</v>
      </c>
    </row>
    <row r="409" spans="3:17">
      <c r="C409" t="s">
        <v>732</v>
      </c>
      <c r="D409" s="208" t="s">
        <v>1327</v>
      </c>
      <c r="E409" s="208"/>
      <c r="F409" s="208"/>
      <c r="G409" s="208"/>
      <c r="H409" s="208"/>
      <c r="I409" s="208">
        <v>200</v>
      </c>
      <c r="J409" s="208"/>
      <c r="K409" s="208">
        <v>200</v>
      </c>
      <c r="L409" s="208">
        <v>180</v>
      </c>
      <c r="O409">
        <v>0.17</v>
      </c>
      <c r="P409">
        <v>1.0000000000000001E-5</v>
      </c>
      <c r="Q409">
        <v>2.0000000000000002E-5</v>
      </c>
    </row>
    <row r="412" spans="3:17">
      <c r="C412" t="s">
        <v>737</v>
      </c>
      <c r="O412">
        <v>0.96799999999999997</v>
      </c>
      <c r="P412">
        <v>0</v>
      </c>
      <c r="Q412">
        <v>0</v>
      </c>
    </row>
    <row r="413" spans="3:17">
      <c r="C413" t="s">
        <v>741</v>
      </c>
      <c r="O413">
        <v>1.1082000000000001</v>
      </c>
      <c r="P413">
        <v>0</v>
      </c>
      <c r="Q413">
        <v>0</v>
      </c>
    </row>
    <row r="414" spans="3:17">
      <c r="C414" t="s">
        <v>745</v>
      </c>
      <c r="O414">
        <v>0.80459999999999998</v>
      </c>
      <c r="P414">
        <v>0</v>
      </c>
      <c r="Q414">
        <v>0</v>
      </c>
    </row>
    <row r="415" spans="3:17">
      <c r="C415" t="s">
        <v>749</v>
      </c>
      <c r="O415">
        <v>0.90139999999999998</v>
      </c>
      <c r="P415">
        <v>0</v>
      </c>
      <c r="Q415">
        <v>0</v>
      </c>
    </row>
    <row r="416" spans="3:17">
      <c r="C416" t="s">
        <v>751</v>
      </c>
      <c r="O416">
        <v>0.91549999999999998</v>
      </c>
      <c r="P416">
        <v>0</v>
      </c>
      <c r="Q416">
        <v>0</v>
      </c>
    </row>
    <row r="417" spans="3:31">
      <c r="C417" t="s">
        <v>753</v>
      </c>
      <c r="O417">
        <v>0.8367</v>
      </c>
      <c r="P417">
        <v>0</v>
      </c>
      <c r="Q417">
        <v>0</v>
      </c>
    </row>
    <row r="418" spans="3:31">
      <c r="C418" t="s">
        <v>756</v>
      </c>
      <c r="O418">
        <v>0</v>
      </c>
      <c r="P418">
        <v>0</v>
      </c>
      <c r="Q418">
        <v>0</v>
      </c>
    </row>
    <row r="424" spans="3:31" ht="15.5">
      <c r="T424" s="213" t="s">
        <v>1340</v>
      </c>
      <c r="U424" s="214" t="s">
        <v>1341</v>
      </c>
      <c r="V424" s="215"/>
      <c r="W424" s="215"/>
      <c r="X424" s="215"/>
      <c r="Y424" s="215"/>
      <c r="Z424" s="215"/>
      <c r="AA424" s="215"/>
      <c r="AB424" s="215"/>
      <c r="AC424" s="215"/>
      <c r="AD424" s="216"/>
      <c r="AE424" s="2"/>
    </row>
    <row r="425" spans="3:31" ht="15" thickBot="1">
      <c r="T425" s="2"/>
      <c r="U425" s="2"/>
      <c r="V425" s="2"/>
      <c r="W425" s="2"/>
      <c r="X425" s="2"/>
      <c r="Y425" s="2"/>
      <c r="Z425" s="2"/>
      <c r="AA425" s="2"/>
      <c r="AB425" s="2"/>
      <c r="AC425" s="2"/>
      <c r="AD425" s="2"/>
      <c r="AE425" s="2"/>
    </row>
    <row r="426" spans="3:31" ht="39.5" thickBot="1">
      <c r="T426" s="2"/>
      <c r="U426" s="217" t="s">
        <v>1342</v>
      </c>
      <c r="V426" s="218" t="s">
        <v>1343</v>
      </c>
      <c r="W426" s="219"/>
      <c r="X426" s="2"/>
      <c r="Y426" s="2"/>
      <c r="Z426" s="2"/>
      <c r="AA426" s="2"/>
      <c r="AB426" s="2"/>
      <c r="AC426" s="2"/>
      <c r="AD426" s="2"/>
      <c r="AE426" s="2"/>
    </row>
    <row r="427" spans="3:31" ht="15.5">
      <c r="T427" s="2"/>
      <c r="U427" s="220" t="s">
        <v>1344</v>
      </c>
      <c r="V427" s="221">
        <v>1</v>
      </c>
      <c r="W427" s="2"/>
      <c r="X427" s="2"/>
      <c r="Y427" s="2"/>
      <c r="Z427" s="2"/>
      <c r="AA427" s="2"/>
      <c r="AB427" s="2"/>
      <c r="AC427" s="2"/>
      <c r="AD427" s="2"/>
      <c r="AE427" s="2"/>
    </row>
    <row r="428" spans="3:31" ht="15.5">
      <c r="T428" s="2"/>
      <c r="U428" s="138" t="s">
        <v>1345</v>
      </c>
      <c r="V428" s="222">
        <v>25</v>
      </c>
      <c r="W428" s="2"/>
      <c r="X428" s="2"/>
      <c r="Y428" s="2"/>
      <c r="Z428" s="2"/>
      <c r="AA428" s="2"/>
      <c r="AB428" s="2"/>
      <c r="AC428" s="2"/>
      <c r="AD428" s="2"/>
      <c r="AE428" s="2"/>
    </row>
    <row r="429" spans="3:31" ht="15.5">
      <c r="T429" s="2"/>
      <c r="U429" s="138" t="s">
        <v>1346</v>
      </c>
      <c r="V429" s="222">
        <v>298</v>
      </c>
      <c r="W429" s="106"/>
      <c r="X429" s="2"/>
      <c r="Y429" s="2"/>
      <c r="Z429" s="2"/>
      <c r="AA429" s="2"/>
      <c r="AB429" s="2"/>
      <c r="AC429" s="2"/>
      <c r="AD429" s="2"/>
      <c r="AE429" s="2"/>
    </row>
    <row r="430" spans="3:31">
      <c r="T430" s="2"/>
      <c r="U430" s="138" t="s">
        <v>1347</v>
      </c>
      <c r="V430" s="222">
        <v>14800</v>
      </c>
      <c r="W430" s="2"/>
      <c r="X430" s="2"/>
      <c r="Y430" s="2"/>
      <c r="Z430" s="2"/>
      <c r="AA430" s="2"/>
      <c r="AB430" s="2"/>
      <c r="AC430" s="2"/>
      <c r="AD430" s="2"/>
      <c r="AE430" s="2"/>
    </row>
    <row r="431" spans="3:31">
      <c r="T431" s="2"/>
      <c r="U431" s="138" t="s">
        <v>1348</v>
      </c>
      <c r="V431" s="222">
        <v>675</v>
      </c>
      <c r="W431" s="2"/>
      <c r="X431" s="2"/>
      <c r="Y431" s="2"/>
      <c r="Z431" s="2"/>
      <c r="AA431" s="2"/>
      <c r="AB431" s="2"/>
      <c r="AC431" s="2"/>
      <c r="AD431" s="2"/>
      <c r="AE431" s="2"/>
    </row>
    <row r="432" spans="3:31">
      <c r="T432" s="2"/>
      <c r="U432" s="138" t="s">
        <v>1349</v>
      </c>
      <c r="V432" s="222">
        <v>92</v>
      </c>
      <c r="W432" s="2"/>
      <c r="X432" s="2"/>
      <c r="Y432" s="2"/>
      <c r="Z432" s="2"/>
      <c r="AA432" s="2"/>
      <c r="AB432" s="2"/>
      <c r="AC432" s="2"/>
      <c r="AD432" s="2"/>
      <c r="AE432" s="2"/>
    </row>
    <row r="433" spans="20:31">
      <c r="T433" s="2"/>
      <c r="U433" s="138" t="s">
        <v>1350</v>
      </c>
      <c r="V433" s="222">
        <v>3500</v>
      </c>
      <c r="W433" s="2"/>
      <c r="X433" s="2"/>
      <c r="Y433" s="1053"/>
      <c r="Z433" s="1053"/>
      <c r="AA433" s="1053"/>
      <c r="AB433" s="1053"/>
      <c r="AC433" s="1053"/>
      <c r="AD433" s="1053"/>
      <c r="AE433" s="1053"/>
    </row>
    <row r="434" spans="20:31">
      <c r="T434" s="2"/>
      <c r="U434" s="138" t="s">
        <v>1351</v>
      </c>
      <c r="V434" s="222">
        <v>1100</v>
      </c>
      <c r="W434" s="2"/>
      <c r="X434" s="2"/>
      <c r="Y434" s="1053"/>
      <c r="Z434" s="1053"/>
      <c r="AA434" s="1053"/>
      <c r="AB434" s="1053"/>
      <c r="AC434" s="1053"/>
      <c r="AD434" s="1053"/>
      <c r="AE434" s="1053"/>
    </row>
    <row r="435" spans="20:31">
      <c r="T435" s="2"/>
      <c r="U435" s="138" t="s">
        <v>1352</v>
      </c>
      <c r="V435" s="222">
        <v>1430</v>
      </c>
      <c r="W435" s="2"/>
      <c r="X435" s="2"/>
      <c r="Y435" s="2"/>
      <c r="Z435" s="2"/>
      <c r="AA435" s="2"/>
      <c r="AB435" s="2"/>
      <c r="AC435" s="2"/>
      <c r="AD435" s="2"/>
      <c r="AE435" s="2"/>
    </row>
    <row r="436" spans="20:31">
      <c r="T436" s="2"/>
      <c r="U436" s="138" t="s">
        <v>1353</v>
      </c>
      <c r="V436" s="222">
        <v>353</v>
      </c>
      <c r="W436" s="2"/>
      <c r="X436" s="2"/>
      <c r="Y436" s="2"/>
      <c r="Z436" s="2"/>
      <c r="AA436" s="2"/>
      <c r="AB436" s="2"/>
      <c r="AC436" s="2"/>
      <c r="AD436" s="2"/>
      <c r="AE436" s="2"/>
    </row>
    <row r="437" spans="20:31">
      <c r="T437" s="2"/>
      <c r="U437" s="15" t="s">
        <v>1354</v>
      </c>
      <c r="V437" s="222">
        <v>4470</v>
      </c>
      <c r="W437" s="2"/>
      <c r="X437" s="2"/>
      <c r="Y437" s="2"/>
      <c r="Z437" s="2"/>
      <c r="AA437" s="2"/>
      <c r="AB437" s="2"/>
      <c r="AC437" s="2"/>
      <c r="AD437" s="2"/>
      <c r="AE437" s="2"/>
    </row>
    <row r="438" spans="20:31">
      <c r="T438" s="2"/>
      <c r="U438" s="138" t="s">
        <v>1355</v>
      </c>
      <c r="V438" s="222">
        <v>53</v>
      </c>
      <c r="W438" s="2"/>
      <c r="X438" s="2"/>
      <c r="Y438" s="2"/>
      <c r="Z438" s="2"/>
      <c r="AA438" s="2"/>
      <c r="AB438" s="2"/>
      <c r="AC438" s="2"/>
      <c r="AD438" s="2"/>
      <c r="AE438" s="2"/>
    </row>
    <row r="439" spans="20:31">
      <c r="T439" s="2"/>
      <c r="U439" s="138" t="s">
        <v>1356</v>
      </c>
      <c r="V439" s="222">
        <v>124</v>
      </c>
      <c r="W439" s="2"/>
      <c r="X439" s="2"/>
      <c r="Y439" s="2"/>
      <c r="Z439" s="2"/>
      <c r="AA439" s="2"/>
      <c r="AB439" s="2"/>
      <c r="AC439" s="2"/>
      <c r="AD439" s="2"/>
      <c r="AE439" s="2"/>
    </row>
    <row r="440" spans="20:31">
      <c r="T440" s="2"/>
      <c r="U440" s="138" t="s">
        <v>1357</v>
      </c>
      <c r="V440" s="222">
        <v>12</v>
      </c>
      <c r="W440" s="2"/>
      <c r="X440" s="2"/>
      <c r="Y440" s="2"/>
      <c r="Z440" s="2"/>
      <c r="AA440" s="2"/>
      <c r="AB440" s="2"/>
      <c r="AC440" s="2"/>
      <c r="AD440" s="2"/>
      <c r="AE440" s="2"/>
    </row>
    <row r="441" spans="20:31">
      <c r="T441" s="2"/>
      <c r="U441" s="138" t="s">
        <v>1358</v>
      </c>
      <c r="V441" s="222">
        <v>3220</v>
      </c>
      <c r="W441" s="2"/>
      <c r="X441" s="2"/>
      <c r="Y441" s="1053"/>
      <c r="Z441" s="1053"/>
      <c r="AA441" s="1053"/>
      <c r="AB441" s="1053"/>
      <c r="AC441" s="1053"/>
      <c r="AD441" s="1053"/>
      <c r="AE441" s="1053"/>
    </row>
    <row r="442" spans="20:31">
      <c r="T442" s="2"/>
      <c r="U442" s="138" t="s">
        <v>1359</v>
      </c>
      <c r="V442" s="222">
        <v>1340</v>
      </c>
      <c r="W442" s="2"/>
      <c r="X442" s="2"/>
      <c r="Y442" s="1053"/>
      <c r="Z442" s="1053"/>
      <c r="AA442" s="1053"/>
      <c r="AB442" s="1053"/>
      <c r="AC442" s="1053"/>
      <c r="AD442" s="1053"/>
      <c r="AE442" s="1053"/>
    </row>
    <row r="443" spans="20:31">
      <c r="T443" s="2"/>
      <c r="U443" s="138" t="s">
        <v>1360</v>
      </c>
      <c r="V443" s="222">
        <v>1370</v>
      </c>
      <c r="W443" s="2"/>
      <c r="X443" s="2"/>
      <c r="Y443" s="2"/>
      <c r="Z443" s="2"/>
      <c r="AA443" s="2"/>
      <c r="AB443" s="2"/>
      <c r="AC443" s="2"/>
      <c r="AD443" s="2"/>
      <c r="AE443" s="2"/>
    </row>
    <row r="444" spans="20:31">
      <c r="T444" s="2"/>
      <c r="U444" s="138" t="s">
        <v>1361</v>
      </c>
      <c r="V444" s="222">
        <v>9810</v>
      </c>
      <c r="W444" s="2"/>
      <c r="X444" s="2"/>
      <c r="Y444" s="2"/>
      <c r="Z444" s="2"/>
      <c r="AA444" s="2"/>
      <c r="AB444" s="2"/>
      <c r="AC444" s="2"/>
      <c r="AD444" s="2"/>
      <c r="AE444" s="2"/>
    </row>
    <row r="445" spans="20:31">
      <c r="T445" s="2"/>
      <c r="U445" s="15" t="s">
        <v>1362</v>
      </c>
      <c r="V445" s="222">
        <v>693</v>
      </c>
      <c r="W445" s="2"/>
      <c r="X445" s="2"/>
      <c r="Y445" s="2"/>
      <c r="Z445" s="2"/>
      <c r="AA445" s="2"/>
      <c r="AB445" s="2"/>
      <c r="AC445" s="2"/>
      <c r="AD445" s="2"/>
      <c r="AE445" s="2"/>
    </row>
    <row r="446" spans="20:31">
      <c r="T446" s="2"/>
      <c r="U446" s="138" t="s">
        <v>1363</v>
      </c>
      <c r="V446" s="222">
        <v>1030</v>
      </c>
      <c r="W446" s="2"/>
      <c r="X446" s="2"/>
      <c r="Y446" s="2"/>
      <c r="Z446" s="2"/>
      <c r="AA446" s="2"/>
      <c r="AB446" s="2"/>
      <c r="AC446" s="2"/>
      <c r="AD446" s="2"/>
      <c r="AE446" s="2"/>
    </row>
    <row r="447" spans="20:31">
      <c r="T447" s="2"/>
      <c r="U447" s="138" t="s">
        <v>1364</v>
      </c>
      <c r="V447" s="222">
        <v>794</v>
      </c>
      <c r="W447" s="2"/>
      <c r="X447" s="2"/>
      <c r="Y447" s="2"/>
      <c r="Z447" s="2"/>
      <c r="AA447" s="2"/>
      <c r="AB447" s="2"/>
      <c r="AC447" s="2"/>
      <c r="AD447" s="2"/>
      <c r="AE447" s="2"/>
    </row>
    <row r="448" spans="20:31">
      <c r="T448" s="2"/>
      <c r="U448" s="15" t="s">
        <v>1365</v>
      </c>
      <c r="V448" s="222">
        <v>1640</v>
      </c>
      <c r="W448" s="2"/>
      <c r="X448" s="2"/>
      <c r="Y448" s="2"/>
      <c r="Z448" s="2"/>
      <c r="AA448" s="2"/>
      <c r="AB448" s="2"/>
      <c r="AC448" s="2"/>
      <c r="AD448" s="2"/>
      <c r="AE448" s="2"/>
    </row>
    <row r="449" spans="20:31" ht="15.5">
      <c r="T449" s="2"/>
      <c r="U449" s="138" t="s">
        <v>1366</v>
      </c>
      <c r="V449" s="222">
        <v>22800</v>
      </c>
      <c r="W449" s="2"/>
      <c r="X449" s="2"/>
      <c r="Y449" s="2"/>
      <c r="Z449" s="2"/>
      <c r="AA449" s="2"/>
      <c r="AB449" s="2"/>
      <c r="AC449" s="2"/>
      <c r="AD449" s="2"/>
      <c r="AE449" s="2"/>
    </row>
    <row r="450" spans="20:31" ht="15.5">
      <c r="T450" s="2"/>
      <c r="U450" s="138" t="s">
        <v>1367</v>
      </c>
      <c r="V450" s="222">
        <v>17200</v>
      </c>
      <c r="W450" s="2"/>
      <c r="X450" s="2"/>
      <c r="Y450" s="2"/>
      <c r="Z450" s="2"/>
      <c r="AA450" s="2"/>
      <c r="AB450" s="2"/>
      <c r="AC450" s="2"/>
      <c r="AD450" s="2"/>
      <c r="AE450" s="2"/>
    </row>
    <row r="451" spans="20:31" ht="15.5">
      <c r="T451" s="2"/>
      <c r="U451" s="15" t="s">
        <v>1368</v>
      </c>
      <c r="V451" s="222">
        <v>7390</v>
      </c>
      <c r="W451" s="2"/>
      <c r="X451" s="2"/>
      <c r="Y451" s="2"/>
      <c r="Z451" s="2"/>
      <c r="AA451" s="2"/>
      <c r="AB451" s="2"/>
      <c r="AC451" s="2"/>
      <c r="AD451" s="2"/>
      <c r="AE451" s="2"/>
    </row>
    <row r="452" spans="20:31" ht="15.5">
      <c r="T452" s="2"/>
      <c r="U452" s="15" t="s">
        <v>1369</v>
      </c>
      <c r="V452" s="222">
        <v>12200</v>
      </c>
      <c r="W452" s="2"/>
      <c r="X452" s="2"/>
      <c r="Y452" s="2"/>
      <c r="Z452" s="2"/>
      <c r="AA452" s="2"/>
      <c r="AB452" s="2"/>
      <c r="AC452" s="2"/>
      <c r="AD452" s="2"/>
      <c r="AE452" s="2"/>
    </row>
    <row r="453" spans="20:31" ht="15.5">
      <c r="T453" s="2"/>
      <c r="U453" s="15" t="s">
        <v>1370</v>
      </c>
      <c r="V453" s="222">
        <v>8830</v>
      </c>
      <c r="W453" s="2"/>
      <c r="X453" s="2"/>
      <c r="Y453" s="2"/>
      <c r="Z453" s="2"/>
      <c r="AA453" s="2"/>
      <c r="AB453" s="2"/>
      <c r="AC453" s="2"/>
      <c r="AD453" s="2"/>
      <c r="AE453" s="2"/>
    </row>
    <row r="454" spans="20:31" ht="15.5">
      <c r="T454" s="2"/>
      <c r="U454" s="15" t="s">
        <v>1371</v>
      </c>
      <c r="V454" s="223">
        <v>10300</v>
      </c>
      <c r="W454" s="2"/>
      <c r="X454" s="2"/>
      <c r="Y454" s="2"/>
      <c r="Z454" s="2"/>
      <c r="AA454" s="2"/>
      <c r="AB454" s="2"/>
      <c r="AC454" s="2"/>
      <c r="AD454" s="2"/>
      <c r="AE454" s="2"/>
    </row>
    <row r="455" spans="20:31" ht="15.5">
      <c r="T455" s="2"/>
      <c r="U455" s="15" t="s">
        <v>1372</v>
      </c>
      <c r="V455" s="222">
        <v>8860</v>
      </c>
      <c r="W455" s="2"/>
      <c r="X455" s="2"/>
      <c r="Y455" s="2"/>
      <c r="Z455" s="2"/>
      <c r="AA455" s="2"/>
      <c r="AB455" s="2"/>
      <c r="AC455" s="2"/>
      <c r="AD455" s="2"/>
      <c r="AE455" s="2"/>
    </row>
    <row r="456" spans="20:31" ht="15.5">
      <c r="T456" s="2"/>
      <c r="U456" s="15" t="s">
        <v>1373</v>
      </c>
      <c r="V456" s="222">
        <v>9160</v>
      </c>
      <c r="W456" s="2"/>
      <c r="X456" s="2"/>
      <c r="Y456" s="2"/>
      <c r="Z456" s="2"/>
      <c r="AA456" s="2"/>
      <c r="AB456" s="2"/>
      <c r="AC456" s="2"/>
      <c r="AD456" s="2"/>
      <c r="AE456" s="2"/>
    </row>
    <row r="457" spans="20:31" ht="15.5">
      <c r="T457" s="2"/>
      <c r="U457" s="15" t="s">
        <v>1374</v>
      </c>
      <c r="V457" s="222">
        <v>9300</v>
      </c>
      <c r="W457" s="2"/>
      <c r="X457" s="2"/>
      <c r="Y457" s="2"/>
      <c r="Z457" s="2"/>
      <c r="AA457" s="2"/>
      <c r="AB457" s="2"/>
      <c r="AC457" s="2"/>
      <c r="AD457" s="2"/>
      <c r="AE457" s="2"/>
    </row>
    <row r="458" spans="20:31" ht="16" thickBot="1">
      <c r="T458" s="2"/>
      <c r="U458" s="148" t="s">
        <v>1375</v>
      </c>
      <c r="V458" s="224" t="s">
        <v>1376</v>
      </c>
      <c r="W458" s="2"/>
      <c r="X458" s="2"/>
      <c r="Y458" s="2"/>
      <c r="Z458" s="2"/>
      <c r="AA458" s="2"/>
      <c r="AB458" s="2"/>
      <c r="AC458" s="2"/>
      <c r="AD458" s="2"/>
      <c r="AE458" s="2"/>
    </row>
    <row r="459" spans="20:31">
      <c r="T459" s="2"/>
      <c r="U459" s="1020" t="s">
        <v>1377</v>
      </c>
      <c r="V459" s="1020"/>
      <c r="W459" s="1020"/>
      <c r="X459" s="1020"/>
      <c r="Y459" s="1020"/>
      <c r="Z459" s="1020"/>
      <c r="AA459" s="1020"/>
      <c r="AB459" s="1020"/>
      <c r="AC459" s="1020"/>
      <c r="AD459" s="1043"/>
      <c r="AE459" s="2"/>
    </row>
    <row r="460" spans="20:31">
      <c r="T460" s="2"/>
      <c r="U460" s="2"/>
      <c r="V460" s="2"/>
      <c r="W460" s="2"/>
      <c r="X460" s="2"/>
      <c r="Y460" s="2"/>
      <c r="Z460" s="2"/>
      <c r="AA460" s="2"/>
      <c r="AB460" s="2"/>
      <c r="AC460" s="2"/>
      <c r="AD460" s="2"/>
      <c r="AE460" s="2"/>
    </row>
    <row r="461" spans="20:31" ht="15.5">
      <c r="T461" s="213" t="s">
        <v>1378</v>
      </c>
      <c r="U461" s="214" t="s">
        <v>1379</v>
      </c>
      <c r="V461" s="215"/>
      <c r="W461" s="215"/>
      <c r="X461" s="215"/>
      <c r="Y461" s="215"/>
      <c r="Z461" s="215"/>
      <c r="AA461" s="215"/>
      <c r="AB461" s="215"/>
      <c r="AC461" s="215"/>
      <c r="AD461" s="216"/>
      <c r="AE461" s="2"/>
    </row>
    <row r="462" spans="20:31" ht="16" thickBot="1">
      <c r="T462" s="225"/>
      <c r="U462" s="226"/>
      <c r="V462" s="2"/>
      <c r="W462" s="2"/>
      <c r="X462" s="2"/>
      <c r="Y462" s="2"/>
      <c r="Z462" s="2"/>
      <c r="AA462" s="2"/>
      <c r="AB462" s="2"/>
      <c r="AC462" s="2"/>
      <c r="AD462" s="2"/>
      <c r="AE462" s="2"/>
    </row>
    <row r="463" spans="20:31" ht="26.5" thickBot="1">
      <c r="T463" s="2"/>
      <c r="U463" s="227" t="s">
        <v>1380</v>
      </c>
      <c r="V463" s="228" t="s">
        <v>1381</v>
      </c>
      <c r="W463" s="1044" t="s">
        <v>1382</v>
      </c>
      <c r="X463" s="1045"/>
      <c r="Y463" s="1045"/>
      <c r="Z463" s="1046"/>
      <c r="AA463" s="2"/>
      <c r="AB463" s="2"/>
      <c r="AC463" s="2"/>
      <c r="AD463" s="2"/>
      <c r="AE463" s="2"/>
    </row>
    <row r="464" spans="20:31">
      <c r="T464" s="2"/>
      <c r="U464" s="162" t="s">
        <v>246</v>
      </c>
      <c r="V464" s="229">
        <v>16</v>
      </c>
      <c r="W464" s="1047" t="s">
        <v>1383</v>
      </c>
      <c r="X464" s="1048"/>
      <c r="Y464" s="1048"/>
      <c r="Z464" s="1049"/>
      <c r="AA464" s="230"/>
      <c r="AB464" s="2"/>
      <c r="AC464" s="2"/>
      <c r="AD464" s="2"/>
      <c r="AE464" s="2"/>
    </row>
    <row r="465" spans="20:31">
      <c r="T465" s="2"/>
      <c r="U465" s="15" t="s">
        <v>248</v>
      </c>
      <c r="V465" s="231">
        <v>14</v>
      </c>
      <c r="W465" s="1050" t="s">
        <v>1384</v>
      </c>
      <c r="X465" s="1051"/>
      <c r="Y465" s="1051"/>
      <c r="Z465" s="1052"/>
      <c r="AA465" s="230"/>
      <c r="AB465" s="2"/>
      <c r="AC465" s="2"/>
      <c r="AD465" s="2"/>
      <c r="AE465" s="2"/>
    </row>
    <row r="466" spans="20:31">
      <c r="T466" s="2"/>
      <c r="U466" s="15" t="s">
        <v>249</v>
      </c>
      <c r="V466" s="231">
        <v>19</v>
      </c>
      <c r="W466" s="1050" t="s">
        <v>1385</v>
      </c>
      <c r="X466" s="1051"/>
      <c r="Y466" s="1051"/>
      <c r="Z466" s="1052"/>
      <c r="AA466" s="230"/>
      <c r="AB466" s="2"/>
      <c r="AC466" s="2"/>
      <c r="AD466" s="2"/>
      <c r="AE466" s="2"/>
    </row>
    <row r="467" spans="20:31">
      <c r="T467" s="2"/>
      <c r="U467" s="15" t="s">
        <v>250</v>
      </c>
      <c r="V467" s="231">
        <v>2100</v>
      </c>
      <c r="W467" s="1050" t="s">
        <v>1386</v>
      </c>
      <c r="X467" s="1051"/>
      <c r="Y467" s="1051"/>
      <c r="Z467" s="1052"/>
      <c r="AA467" s="230"/>
      <c r="AB467" s="2"/>
      <c r="AC467" s="2"/>
      <c r="AD467" s="2"/>
      <c r="AE467" s="2"/>
    </row>
    <row r="468" spans="20:31">
      <c r="T468" s="2"/>
      <c r="U468" s="15" t="s">
        <v>251</v>
      </c>
      <c r="V468" s="231">
        <v>1330</v>
      </c>
      <c r="W468" s="1050" t="s">
        <v>1387</v>
      </c>
      <c r="X468" s="1051"/>
      <c r="Y468" s="1051"/>
      <c r="Z468" s="1052"/>
      <c r="AA468" s="230"/>
      <c r="AB468" s="2"/>
      <c r="AC468" s="2"/>
      <c r="AD468" s="2"/>
      <c r="AE468" s="2"/>
    </row>
    <row r="469" spans="20:31">
      <c r="T469" s="2"/>
      <c r="U469" s="15" t="s">
        <v>254</v>
      </c>
      <c r="V469" s="231">
        <v>3444</v>
      </c>
      <c r="W469" s="1050" t="s">
        <v>1388</v>
      </c>
      <c r="X469" s="1051"/>
      <c r="Y469" s="1051"/>
      <c r="Z469" s="1052"/>
      <c r="AA469" s="230"/>
      <c r="AB469" s="2"/>
      <c r="AC469" s="2"/>
      <c r="AD469" s="2"/>
      <c r="AE469" s="2"/>
    </row>
    <row r="470" spans="20:31">
      <c r="T470" s="2"/>
      <c r="U470" s="15" t="s">
        <v>255</v>
      </c>
      <c r="V470" s="231">
        <v>3922</v>
      </c>
      <c r="W470" s="1050" t="s">
        <v>1389</v>
      </c>
      <c r="X470" s="1051"/>
      <c r="Y470" s="1051"/>
      <c r="Z470" s="1052"/>
      <c r="AA470" s="230"/>
      <c r="AB470" s="2"/>
      <c r="AC470" s="2"/>
      <c r="AD470" s="2"/>
      <c r="AE470" s="2"/>
    </row>
    <row r="471" spans="20:31">
      <c r="T471" s="2"/>
      <c r="U471" s="15" t="s">
        <v>1390</v>
      </c>
      <c r="V471" s="231">
        <v>0</v>
      </c>
      <c r="W471" s="1050" t="s">
        <v>1391</v>
      </c>
      <c r="X471" s="1051"/>
      <c r="Y471" s="1051"/>
      <c r="Z471" s="1052"/>
      <c r="AA471" s="230"/>
      <c r="AB471" s="2"/>
      <c r="AC471" s="2"/>
      <c r="AD471" s="2"/>
      <c r="AE471" s="2"/>
    </row>
    <row r="472" spans="20:31">
      <c r="T472" s="2"/>
      <c r="U472" s="15" t="s">
        <v>256</v>
      </c>
      <c r="V472" s="231">
        <v>2107</v>
      </c>
      <c r="W472" s="1050" t="s">
        <v>1392</v>
      </c>
      <c r="X472" s="1051"/>
      <c r="Y472" s="1051"/>
      <c r="Z472" s="1052"/>
      <c r="AA472" s="230"/>
      <c r="AB472" s="2"/>
      <c r="AC472" s="2"/>
      <c r="AD472" s="2"/>
      <c r="AE472" s="2"/>
    </row>
    <row r="473" spans="20:31">
      <c r="T473" s="2"/>
      <c r="U473" s="15" t="s">
        <v>257</v>
      </c>
      <c r="V473" s="231">
        <v>2804</v>
      </c>
      <c r="W473" s="1050" t="s">
        <v>1393</v>
      </c>
      <c r="X473" s="1051"/>
      <c r="Y473" s="1051"/>
      <c r="Z473" s="1052"/>
      <c r="AA473" s="230"/>
      <c r="AB473" s="2"/>
      <c r="AC473" s="2"/>
      <c r="AD473" s="2"/>
      <c r="AE473" s="2"/>
    </row>
    <row r="474" spans="20:31">
      <c r="T474" s="2"/>
      <c r="U474" s="15" t="s">
        <v>258</v>
      </c>
      <c r="V474" s="231">
        <v>1774</v>
      </c>
      <c r="W474" s="1050" t="s">
        <v>1394</v>
      </c>
      <c r="X474" s="1051"/>
      <c r="Y474" s="1051"/>
      <c r="Z474" s="1052"/>
      <c r="AA474" s="230"/>
      <c r="AB474" s="2"/>
      <c r="AC474" s="2"/>
      <c r="AD474" s="2"/>
      <c r="AE474" s="2"/>
    </row>
    <row r="475" spans="20:31">
      <c r="T475" s="2"/>
      <c r="U475" s="15" t="s">
        <v>259</v>
      </c>
      <c r="V475" s="231">
        <v>1627</v>
      </c>
      <c r="W475" s="1050" t="s">
        <v>1395</v>
      </c>
      <c r="X475" s="1051"/>
      <c r="Y475" s="1051"/>
      <c r="Z475" s="1052"/>
      <c r="AA475" s="230"/>
      <c r="AB475" s="2"/>
      <c r="AC475" s="2"/>
      <c r="AD475" s="2"/>
      <c r="AE475" s="2"/>
    </row>
    <row r="476" spans="20:31">
      <c r="T476" s="2"/>
      <c r="U476" s="15" t="s">
        <v>260</v>
      </c>
      <c r="V476" s="231">
        <v>1552</v>
      </c>
      <c r="W476" s="1050" t="s">
        <v>1396</v>
      </c>
      <c r="X476" s="1051"/>
      <c r="Y476" s="1051"/>
      <c r="Z476" s="1052"/>
      <c r="AA476" s="230"/>
      <c r="AB476" s="2"/>
      <c r="AC476" s="2"/>
      <c r="AD476" s="2"/>
      <c r="AE476" s="2"/>
    </row>
    <row r="477" spans="20:31">
      <c r="T477" s="2"/>
      <c r="U477" s="15" t="s">
        <v>262</v>
      </c>
      <c r="V477" s="231">
        <v>2301</v>
      </c>
      <c r="W477" s="1050" t="s">
        <v>1397</v>
      </c>
      <c r="X477" s="1051"/>
      <c r="Y477" s="1051"/>
      <c r="Z477" s="1052"/>
      <c r="AA477" s="230"/>
      <c r="AB477" s="2"/>
      <c r="AC477" s="2"/>
      <c r="AD477" s="2"/>
      <c r="AE477" s="2"/>
    </row>
    <row r="478" spans="20:31">
      <c r="T478" s="2"/>
      <c r="U478" s="15" t="s">
        <v>1398</v>
      </c>
      <c r="V478" s="231">
        <v>0</v>
      </c>
      <c r="W478" s="1050" t="s">
        <v>1399</v>
      </c>
      <c r="X478" s="1051"/>
      <c r="Y478" s="1051"/>
      <c r="Z478" s="1052"/>
      <c r="AA478" s="230"/>
      <c r="AB478" s="2"/>
      <c r="AC478" s="2"/>
      <c r="AD478" s="2"/>
      <c r="AE478" s="2"/>
    </row>
    <row r="479" spans="20:31">
      <c r="T479" s="2"/>
      <c r="U479" s="15" t="s">
        <v>263</v>
      </c>
      <c r="V479" s="231">
        <v>2088</v>
      </c>
      <c r="W479" s="1050" t="s">
        <v>1400</v>
      </c>
      <c r="X479" s="1051"/>
      <c r="Y479" s="1051"/>
      <c r="Z479" s="1052"/>
      <c r="AA479" s="230"/>
      <c r="AB479" s="2"/>
      <c r="AC479" s="2"/>
      <c r="AD479" s="2"/>
      <c r="AE479" s="2"/>
    </row>
    <row r="480" spans="20:31">
      <c r="T480" s="2"/>
      <c r="U480" s="15" t="s">
        <v>264</v>
      </c>
      <c r="V480" s="231">
        <v>2229</v>
      </c>
      <c r="W480" s="1050" t="s">
        <v>1401</v>
      </c>
      <c r="X480" s="1051"/>
      <c r="Y480" s="1051"/>
      <c r="Z480" s="1052"/>
      <c r="AA480" s="230"/>
      <c r="AB480" s="2"/>
      <c r="AC480" s="2"/>
      <c r="AD480" s="2"/>
      <c r="AE480" s="2"/>
    </row>
    <row r="481" spans="20:31">
      <c r="T481" s="2"/>
      <c r="U481" s="15" t="s">
        <v>265</v>
      </c>
      <c r="V481" s="231">
        <v>14</v>
      </c>
      <c r="W481" s="1050" t="s">
        <v>1402</v>
      </c>
      <c r="X481" s="1051"/>
      <c r="Y481" s="1051"/>
      <c r="Z481" s="1052"/>
      <c r="AA481" s="230"/>
      <c r="AB481" s="2"/>
      <c r="AC481" s="2"/>
      <c r="AD481" s="2"/>
      <c r="AE481" s="2"/>
    </row>
    <row r="482" spans="20:31">
      <c r="T482" s="2"/>
      <c r="U482" s="15" t="s">
        <v>266</v>
      </c>
      <c r="V482" s="231">
        <v>4</v>
      </c>
      <c r="W482" s="1050" t="s">
        <v>1403</v>
      </c>
      <c r="X482" s="1051"/>
      <c r="Y482" s="1051"/>
      <c r="Z482" s="1052"/>
      <c r="AA482" s="230"/>
      <c r="AB482" s="2"/>
      <c r="AC482" s="2"/>
      <c r="AD482" s="2"/>
      <c r="AE482" s="2"/>
    </row>
    <row r="483" spans="20:31">
      <c r="T483" s="2"/>
      <c r="U483" s="15" t="s">
        <v>1404</v>
      </c>
      <c r="V483" s="231">
        <v>2053</v>
      </c>
      <c r="W483" s="1050" t="s">
        <v>1405</v>
      </c>
      <c r="X483" s="1051"/>
      <c r="Y483" s="1051"/>
      <c r="Z483" s="1052"/>
      <c r="AA483" s="230"/>
      <c r="AB483" s="2"/>
      <c r="AC483" s="2"/>
      <c r="AD483" s="2"/>
      <c r="AE483" s="2"/>
    </row>
    <row r="484" spans="20:31">
      <c r="T484" s="2"/>
      <c r="U484" s="15" t="s">
        <v>1406</v>
      </c>
      <c r="V484" s="231">
        <v>0</v>
      </c>
      <c r="W484" s="1050" t="s">
        <v>1407</v>
      </c>
      <c r="X484" s="1051"/>
      <c r="Y484" s="1051"/>
      <c r="Z484" s="1052"/>
      <c r="AA484" s="230"/>
      <c r="AB484" s="2"/>
      <c r="AC484" s="2"/>
      <c r="AD484" s="2"/>
      <c r="AE484" s="2"/>
    </row>
    <row r="485" spans="20:31">
      <c r="T485" s="2"/>
      <c r="U485" s="15" t="s">
        <v>1408</v>
      </c>
      <c r="V485" s="231">
        <v>0</v>
      </c>
      <c r="W485" s="1050" t="s">
        <v>1409</v>
      </c>
      <c r="X485" s="1051"/>
      <c r="Y485" s="1051"/>
      <c r="Z485" s="1052"/>
      <c r="AA485" s="230"/>
      <c r="AB485" s="2"/>
      <c r="AC485" s="2"/>
      <c r="AD485" s="2"/>
      <c r="AE485" s="2"/>
    </row>
    <row r="486" spans="20:31">
      <c r="T486" s="2"/>
      <c r="U486" s="15" t="s">
        <v>271</v>
      </c>
      <c r="V486" s="231">
        <v>2346</v>
      </c>
      <c r="W486" s="1050" t="s">
        <v>1410</v>
      </c>
      <c r="X486" s="1051"/>
      <c r="Y486" s="1051"/>
      <c r="Z486" s="1052"/>
      <c r="AA486" s="230"/>
      <c r="AB486" s="2"/>
      <c r="AC486" s="2"/>
      <c r="AD486" s="2"/>
      <c r="AE486" s="2"/>
    </row>
    <row r="487" spans="20:31">
      <c r="T487" s="2"/>
      <c r="U487" s="15" t="s">
        <v>280</v>
      </c>
      <c r="V487" s="231">
        <v>3143</v>
      </c>
      <c r="W487" s="1050" t="s">
        <v>1411</v>
      </c>
      <c r="X487" s="1051"/>
      <c r="Y487" s="1051"/>
      <c r="Z487" s="1052"/>
      <c r="AA487" s="230"/>
      <c r="AB487" s="2"/>
      <c r="AC487" s="2"/>
      <c r="AD487" s="2"/>
      <c r="AE487" s="2"/>
    </row>
    <row r="488" spans="20:31">
      <c r="T488" s="2"/>
      <c r="U488" s="15" t="s">
        <v>283</v>
      </c>
      <c r="V488" s="231">
        <v>2729</v>
      </c>
      <c r="W488" s="1050" t="s">
        <v>1412</v>
      </c>
      <c r="X488" s="1051"/>
      <c r="Y488" s="1051"/>
      <c r="Z488" s="1052"/>
      <c r="AA488" s="230"/>
      <c r="AB488" s="2"/>
      <c r="AC488" s="2"/>
      <c r="AD488" s="2"/>
      <c r="AE488" s="2"/>
    </row>
    <row r="489" spans="20:31">
      <c r="T489" s="2"/>
      <c r="U489" s="15" t="s">
        <v>285</v>
      </c>
      <c r="V489" s="231">
        <v>2280</v>
      </c>
      <c r="W489" s="1050" t="s">
        <v>1413</v>
      </c>
      <c r="X489" s="1051"/>
      <c r="Y489" s="1051"/>
      <c r="Z489" s="1052"/>
      <c r="AA489" s="230"/>
      <c r="AB489" s="2"/>
      <c r="AC489" s="2"/>
      <c r="AD489" s="2"/>
      <c r="AE489" s="2"/>
    </row>
    <row r="490" spans="20:31">
      <c r="T490" s="2"/>
      <c r="U490" s="15" t="s">
        <v>286</v>
      </c>
      <c r="V490" s="231">
        <v>2440</v>
      </c>
      <c r="W490" s="1054" t="s">
        <v>1414</v>
      </c>
      <c r="X490" s="1055"/>
      <c r="Y490" s="1055"/>
      <c r="Z490" s="1056"/>
      <c r="AA490" s="230"/>
      <c r="AB490" s="2"/>
      <c r="AC490" s="2"/>
      <c r="AD490" s="2"/>
      <c r="AE490" s="2"/>
    </row>
    <row r="491" spans="20:31">
      <c r="T491" s="2"/>
      <c r="U491" s="15" t="s">
        <v>288</v>
      </c>
      <c r="V491" s="231">
        <v>1508</v>
      </c>
      <c r="W491" s="1054" t="s">
        <v>1415</v>
      </c>
      <c r="X491" s="1055"/>
      <c r="Y491" s="1055"/>
      <c r="Z491" s="1056"/>
      <c r="AA491" s="230"/>
      <c r="AB491" s="2"/>
      <c r="AC491" s="2"/>
      <c r="AD491" s="2"/>
      <c r="AE491" s="2"/>
    </row>
    <row r="492" spans="20:31">
      <c r="T492" s="2"/>
      <c r="U492" s="15" t="s">
        <v>290</v>
      </c>
      <c r="V492" s="231">
        <v>3607</v>
      </c>
      <c r="W492" s="1050" t="s">
        <v>1416</v>
      </c>
      <c r="X492" s="1051"/>
      <c r="Y492" s="1051"/>
      <c r="Z492" s="1052"/>
      <c r="AA492" s="230"/>
      <c r="AB492" s="2"/>
      <c r="AC492" s="2"/>
      <c r="AD492" s="2"/>
      <c r="AE492" s="2"/>
    </row>
    <row r="493" spans="20:31">
      <c r="T493" s="2"/>
      <c r="U493" s="15" t="s">
        <v>294</v>
      </c>
      <c r="V493" s="232">
        <v>3245</v>
      </c>
      <c r="W493" s="1054" t="s">
        <v>1417</v>
      </c>
      <c r="X493" s="1055"/>
      <c r="Y493" s="1055"/>
      <c r="Z493" s="1056"/>
      <c r="AA493" s="230"/>
      <c r="AB493" s="2"/>
      <c r="AC493" s="2"/>
      <c r="AD493" s="2"/>
      <c r="AE493" s="2"/>
    </row>
    <row r="494" spans="20:31">
      <c r="T494" s="2"/>
      <c r="U494" s="233" t="s">
        <v>301</v>
      </c>
      <c r="V494" s="231">
        <v>32</v>
      </c>
      <c r="W494" s="1050" t="s">
        <v>1418</v>
      </c>
      <c r="X494" s="1051"/>
      <c r="Y494" s="1051"/>
      <c r="Z494" s="1052"/>
      <c r="AA494" s="230"/>
      <c r="AB494" s="2"/>
      <c r="AC494" s="2"/>
      <c r="AD494" s="2"/>
      <c r="AE494" s="2"/>
    </row>
    <row r="495" spans="20:31">
      <c r="T495" s="2"/>
      <c r="U495" s="233" t="s">
        <v>1419</v>
      </c>
      <c r="V495" s="231">
        <v>0</v>
      </c>
      <c r="W495" s="1050" t="s">
        <v>1420</v>
      </c>
      <c r="X495" s="1051"/>
      <c r="Y495" s="1051"/>
      <c r="Z495" s="1052"/>
      <c r="AA495" s="230"/>
      <c r="AB495" s="2"/>
      <c r="AC495" s="2"/>
      <c r="AD495" s="2"/>
      <c r="AE495" s="2"/>
    </row>
    <row r="496" spans="20:31">
      <c r="T496" s="2"/>
      <c r="U496" s="233" t="s">
        <v>303</v>
      </c>
      <c r="V496" s="231">
        <v>325</v>
      </c>
      <c r="W496" s="1050" t="s">
        <v>1421</v>
      </c>
      <c r="X496" s="1051"/>
      <c r="Y496" s="1051"/>
      <c r="Z496" s="1052"/>
      <c r="AA496" s="230"/>
      <c r="AB496" s="2"/>
      <c r="AC496" s="2"/>
      <c r="AD496" s="2"/>
      <c r="AE496" s="2"/>
    </row>
    <row r="497" spans="3:31">
      <c r="T497" s="2"/>
      <c r="U497" s="233" t="s">
        <v>304</v>
      </c>
      <c r="V497" s="231">
        <v>3985</v>
      </c>
      <c r="W497" s="1050" t="s">
        <v>1422</v>
      </c>
      <c r="X497" s="1051"/>
      <c r="Y497" s="1051"/>
      <c r="Z497" s="1052"/>
      <c r="AA497" s="230"/>
      <c r="AB497" s="2"/>
      <c r="AC497" s="2"/>
      <c r="AD497" s="2"/>
      <c r="AE497" s="2"/>
    </row>
    <row r="498" spans="3:31">
      <c r="T498" s="2"/>
      <c r="U498" s="15" t="s">
        <v>1423</v>
      </c>
      <c r="V498" s="231">
        <v>13214</v>
      </c>
      <c r="W498" s="1050" t="s">
        <v>1424</v>
      </c>
      <c r="X498" s="1051"/>
      <c r="Y498" s="1051"/>
      <c r="Z498" s="1052"/>
      <c r="AA498" s="230"/>
      <c r="AB498" s="2"/>
      <c r="AC498" s="2"/>
      <c r="AD498" s="2"/>
      <c r="AE498" s="2"/>
    </row>
    <row r="499" spans="3:31" ht="15" thickBot="1">
      <c r="T499" s="2"/>
      <c r="U499" s="148" t="s">
        <v>1425</v>
      </c>
      <c r="V499" s="234">
        <v>13396</v>
      </c>
      <c r="W499" s="1057" t="s">
        <v>1426</v>
      </c>
      <c r="X499" s="1058"/>
      <c r="Y499" s="1058"/>
      <c r="Z499" s="1059"/>
      <c r="AA499" s="230"/>
      <c r="AB499" s="2"/>
      <c r="AC499" s="2"/>
      <c r="AD499" s="2"/>
      <c r="AE499" s="2"/>
    </row>
    <row r="500" spans="3:31">
      <c r="T500" s="92"/>
      <c r="U500" s="1020" t="s">
        <v>1427</v>
      </c>
      <c r="V500" s="1020"/>
      <c r="W500" s="1020"/>
      <c r="X500" s="1020"/>
      <c r="Y500" s="1020"/>
      <c r="Z500" s="1020"/>
      <c r="AA500" s="1020"/>
      <c r="AB500" s="1020"/>
      <c r="AC500" s="1020"/>
      <c r="AD500" s="60"/>
      <c r="AE500" s="144"/>
    </row>
    <row r="510" spans="3:31" ht="17.5">
      <c r="C510" s="245" t="s">
        <v>1062</v>
      </c>
      <c r="D510" s="246" t="s">
        <v>1063</v>
      </c>
      <c r="E510" s="247"/>
      <c r="F510" s="247"/>
      <c r="G510" s="247"/>
      <c r="H510" s="248"/>
      <c r="I510" s="248"/>
      <c r="J510" s="248"/>
      <c r="K510" s="248"/>
      <c r="L510" s="248"/>
      <c r="M510" s="249"/>
    </row>
    <row r="511" spans="3:31" ht="15" thickBot="1">
      <c r="C511" s="1"/>
      <c r="D511" s="2"/>
      <c r="E511" s="2"/>
      <c r="F511" s="2"/>
      <c r="G511" s="2"/>
      <c r="H511" s="2"/>
      <c r="I511" s="2"/>
      <c r="J511" s="2"/>
      <c r="K511" s="2"/>
      <c r="L511" s="2"/>
      <c r="M511" s="2"/>
    </row>
    <row r="512" spans="3:31" ht="28.5" thickBot="1">
      <c r="C512" s="92"/>
      <c r="D512" s="91" t="s">
        <v>1064</v>
      </c>
      <c r="E512" s="90" t="s">
        <v>1069</v>
      </c>
      <c r="F512" s="89" t="s">
        <v>860</v>
      </c>
      <c r="G512" s="88"/>
      <c r="H512" s="63"/>
      <c r="I512" s="63"/>
      <c r="J512" s="64"/>
      <c r="K512" s="64"/>
      <c r="L512" s="92"/>
      <c r="M512" s="92"/>
    </row>
    <row r="513" spans="3:13">
      <c r="C513" s="1"/>
      <c r="D513" s="65" t="s">
        <v>516</v>
      </c>
      <c r="E513" s="66">
        <v>8.31</v>
      </c>
      <c r="F513" s="67" t="s">
        <v>547</v>
      </c>
      <c r="G513" s="88"/>
      <c r="H513" s="63"/>
      <c r="I513" s="63"/>
      <c r="J513" s="64"/>
      <c r="K513" s="68"/>
      <c r="L513" s="2"/>
      <c r="M513" s="2"/>
    </row>
    <row r="514" spans="3:13">
      <c r="C514" s="1"/>
      <c r="D514" s="69" t="s">
        <v>479</v>
      </c>
      <c r="E514" s="252">
        <v>9.4499999999999993</v>
      </c>
      <c r="F514" s="70" t="s">
        <v>547</v>
      </c>
      <c r="G514" s="63"/>
      <c r="H514" s="63"/>
      <c r="I514" s="63"/>
      <c r="J514" s="64"/>
      <c r="K514" s="68"/>
      <c r="L514" s="2"/>
      <c r="M514" s="2"/>
    </row>
    <row r="515" spans="3:13">
      <c r="C515" s="1"/>
      <c r="D515" s="69" t="s">
        <v>1078</v>
      </c>
      <c r="E515" s="256">
        <v>5.4440000000000002E-2</v>
      </c>
      <c r="F515" s="70" t="s">
        <v>491</v>
      </c>
      <c r="G515" s="63"/>
      <c r="H515" s="63"/>
      <c r="I515" s="63"/>
      <c r="J515" s="64"/>
      <c r="K515" s="68"/>
      <c r="L515" s="2"/>
      <c r="M515" s="2"/>
    </row>
    <row r="516" spans="3:13">
      <c r="C516" s="71"/>
      <c r="D516" s="69" t="s">
        <v>458</v>
      </c>
      <c r="E516" s="252">
        <v>10.210000000000001</v>
      </c>
      <c r="F516" s="72" t="s">
        <v>547</v>
      </c>
      <c r="G516" s="63"/>
      <c r="H516" s="63"/>
      <c r="I516" s="63"/>
      <c r="J516" s="64"/>
      <c r="K516" s="68"/>
      <c r="L516" s="2"/>
      <c r="M516" s="2"/>
    </row>
    <row r="517" spans="3:13">
      <c r="C517" s="1"/>
      <c r="D517" s="69" t="s">
        <v>500</v>
      </c>
      <c r="E517" s="252">
        <v>5.75</v>
      </c>
      <c r="F517" s="70" t="s">
        <v>547</v>
      </c>
      <c r="G517" s="63"/>
      <c r="H517" s="63"/>
      <c r="I517" s="63"/>
      <c r="J517" s="64"/>
      <c r="K517" s="68"/>
      <c r="L517" s="2"/>
      <c r="M517" s="2"/>
    </row>
    <row r="518" spans="3:13">
      <c r="C518" s="1"/>
      <c r="D518" s="69" t="s">
        <v>697</v>
      </c>
      <c r="E518" s="252">
        <v>9.75</v>
      </c>
      <c r="F518" s="72" t="s">
        <v>547</v>
      </c>
      <c r="G518" s="63"/>
      <c r="H518" s="63"/>
      <c r="I518" s="63"/>
      <c r="J518" s="64"/>
      <c r="K518" s="68"/>
      <c r="L518" s="2"/>
      <c r="M518" s="2"/>
    </row>
    <row r="519" spans="3:13">
      <c r="C519" s="1"/>
      <c r="D519" s="69" t="s">
        <v>1079</v>
      </c>
      <c r="E519" s="257">
        <v>4.5</v>
      </c>
      <c r="F519" s="70" t="s">
        <v>547</v>
      </c>
      <c r="G519" s="2"/>
      <c r="H519" s="63"/>
      <c r="I519" s="63"/>
      <c r="J519" s="64"/>
      <c r="K519" s="68"/>
      <c r="L519" s="2"/>
      <c r="M519" s="2"/>
    </row>
    <row r="520" spans="3:13">
      <c r="C520" s="1"/>
      <c r="D520" s="69" t="s">
        <v>701</v>
      </c>
      <c r="E520" s="252">
        <v>5.68</v>
      </c>
      <c r="F520" s="72" t="s">
        <v>547</v>
      </c>
      <c r="G520" s="63"/>
      <c r="H520" s="73"/>
      <c r="I520" s="63"/>
      <c r="J520" s="64"/>
      <c r="K520" s="68"/>
      <c r="L520" s="2"/>
      <c r="M520" s="2"/>
    </row>
    <row r="521" spans="3:13">
      <c r="C521" s="1"/>
      <c r="D521" s="69" t="s">
        <v>434</v>
      </c>
      <c r="E521" s="252">
        <v>8.7799999999999994</v>
      </c>
      <c r="F521" s="72" t="s">
        <v>547</v>
      </c>
      <c r="G521" s="63"/>
      <c r="H521" s="63"/>
      <c r="I521" s="63"/>
      <c r="J521" s="64"/>
      <c r="K521" s="68"/>
      <c r="L521" s="2"/>
      <c r="M521" s="2"/>
    </row>
    <row r="522" spans="3:13" ht="15" thickBot="1">
      <c r="C522" s="1"/>
      <c r="D522" s="100" t="s">
        <v>1080</v>
      </c>
      <c r="E522" s="101">
        <v>11.27</v>
      </c>
      <c r="F522" s="102" t="s">
        <v>547</v>
      </c>
      <c r="G522" s="63"/>
      <c r="H522" s="63"/>
      <c r="I522" s="63"/>
      <c r="J522" s="64"/>
      <c r="K522" s="64"/>
      <c r="L522" s="2"/>
      <c r="M522" s="2"/>
    </row>
    <row r="523" spans="3:13">
      <c r="C523" s="92"/>
      <c r="D523" s="59" t="s">
        <v>1081</v>
      </c>
      <c r="E523" s="60"/>
      <c r="F523" s="60"/>
      <c r="G523" s="103"/>
      <c r="H523" s="103"/>
      <c r="I523" s="103"/>
      <c r="J523" s="103"/>
      <c r="K523" s="103"/>
      <c r="L523" s="60"/>
      <c r="M523" s="60"/>
    </row>
    <row r="524" spans="3:13">
      <c r="C524" s="1"/>
      <c r="D524" s="1001" t="s">
        <v>1083</v>
      </c>
      <c r="E524" s="1001"/>
      <c r="F524" s="1001"/>
      <c r="G524" s="1001"/>
      <c r="H524" s="1001"/>
      <c r="I524" s="1001"/>
      <c r="J524" s="1001"/>
      <c r="K524" s="1001"/>
      <c r="L524" s="1001"/>
      <c r="M524" s="2"/>
    </row>
    <row r="525" spans="3:13">
      <c r="C525" s="1"/>
      <c r="D525" s="62" t="s">
        <v>1084</v>
      </c>
      <c r="E525" s="104"/>
      <c r="F525" s="104"/>
      <c r="G525" s="104"/>
      <c r="H525" s="104"/>
      <c r="I525" s="105"/>
      <c r="J525" s="105"/>
      <c r="K525" s="2"/>
      <c r="L525" s="2"/>
      <c r="M525" s="106"/>
    </row>
    <row r="526" spans="3:13">
      <c r="C526" s="1"/>
      <c r="D526" s="1022" t="s">
        <v>1085</v>
      </c>
      <c r="E526" s="1022"/>
      <c r="F526" s="1022"/>
      <c r="G526" s="1022"/>
      <c r="H526" s="1022"/>
      <c r="I526" s="1022"/>
      <c r="J526" s="1022"/>
      <c r="K526" s="1022"/>
      <c r="L526" s="1022"/>
      <c r="M526" s="106"/>
    </row>
    <row r="527" spans="3:13">
      <c r="C527" s="1"/>
      <c r="D527" s="107"/>
      <c r="E527" s="2"/>
      <c r="F527" s="2"/>
      <c r="G527" s="2"/>
      <c r="H527" s="2"/>
      <c r="I527" s="2"/>
      <c r="J527" s="2"/>
      <c r="K527" s="2"/>
      <c r="L527" s="2"/>
      <c r="M527" s="2"/>
    </row>
    <row r="528" spans="3:13" ht="17.5">
      <c r="C528" s="213" t="s">
        <v>1086</v>
      </c>
      <c r="D528" s="258" t="s">
        <v>1087</v>
      </c>
      <c r="E528" s="259"/>
      <c r="F528" s="215"/>
      <c r="G528" s="215"/>
      <c r="H528" s="215"/>
      <c r="I528" s="215"/>
      <c r="J528" s="215"/>
      <c r="K528" s="215"/>
      <c r="L528" s="215"/>
      <c r="M528" s="216"/>
    </row>
    <row r="529" spans="3:13" ht="15" thickBot="1">
      <c r="C529" s="2"/>
      <c r="D529" s="2"/>
      <c r="E529" s="2"/>
      <c r="F529" s="2"/>
      <c r="G529" s="2"/>
      <c r="H529" s="2"/>
      <c r="I529" s="2"/>
      <c r="J529" s="2"/>
      <c r="K529" s="2"/>
      <c r="L529" s="2"/>
      <c r="M529" s="2"/>
    </row>
    <row r="530" spans="3:13" ht="41.5" thickBot="1">
      <c r="C530" s="2"/>
      <c r="D530" s="108" t="s">
        <v>1089</v>
      </c>
      <c r="E530" s="109" t="s">
        <v>1090</v>
      </c>
      <c r="F530" s="110" t="s">
        <v>1091</v>
      </c>
      <c r="G530" s="111" t="s">
        <v>1092</v>
      </c>
      <c r="H530" s="112"/>
      <c r="I530" s="2"/>
      <c r="J530" s="2"/>
      <c r="K530" s="2"/>
      <c r="L530" s="2"/>
      <c r="M530" s="2"/>
    </row>
    <row r="531" spans="3:13">
      <c r="C531" s="2"/>
      <c r="D531" s="113" t="s">
        <v>602</v>
      </c>
      <c r="E531" s="114" t="s">
        <v>1093</v>
      </c>
      <c r="F531" s="115">
        <v>0.1696</v>
      </c>
      <c r="G531" s="116">
        <v>1.9699999999999999E-2</v>
      </c>
      <c r="H531" s="112"/>
      <c r="I531" s="112"/>
      <c r="J531" s="2"/>
      <c r="K531" s="2"/>
      <c r="L531" s="2"/>
      <c r="M531" s="2"/>
    </row>
    <row r="532" spans="3:13">
      <c r="C532" s="2"/>
      <c r="D532" s="117"/>
      <c r="E532" s="118">
        <v>1975</v>
      </c>
      <c r="F532" s="119">
        <v>0.14230000000000001</v>
      </c>
      <c r="G532" s="120">
        <v>4.4299999999999999E-2</v>
      </c>
      <c r="H532" s="112"/>
      <c r="I532" s="112"/>
      <c r="J532" s="2"/>
      <c r="K532" s="2"/>
      <c r="L532" s="2"/>
      <c r="M532" s="2"/>
    </row>
    <row r="533" spans="3:13">
      <c r="C533" s="2"/>
      <c r="D533" s="117"/>
      <c r="E533" s="118" t="s">
        <v>1094</v>
      </c>
      <c r="F533" s="119">
        <v>0.1406</v>
      </c>
      <c r="G533" s="120">
        <v>4.58E-2</v>
      </c>
      <c r="H533" s="112"/>
      <c r="I533" s="112"/>
      <c r="J533" s="2"/>
      <c r="K533" s="2"/>
      <c r="L533" s="2"/>
      <c r="M533" s="2"/>
    </row>
    <row r="534" spans="3:13">
      <c r="C534" s="2"/>
      <c r="D534" s="117"/>
      <c r="E534" s="118" t="s">
        <v>1099</v>
      </c>
      <c r="F534" s="119">
        <v>0.1389</v>
      </c>
      <c r="G534" s="120">
        <v>4.7300000000000002E-2</v>
      </c>
      <c r="H534" s="112"/>
      <c r="I534" s="112"/>
      <c r="J534" s="2"/>
      <c r="K534" s="2"/>
      <c r="L534" s="2"/>
      <c r="M534" s="2"/>
    </row>
    <row r="535" spans="3:13">
      <c r="C535" s="2"/>
      <c r="D535" s="117"/>
      <c r="E535" s="118">
        <v>1980</v>
      </c>
      <c r="F535" s="119">
        <v>0.1326</v>
      </c>
      <c r="G535" s="120">
        <v>4.99E-2</v>
      </c>
      <c r="H535" s="112"/>
      <c r="I535" s="112"/>
      <c r="J535" s="2"/>
      <c r="K535" s="2"/>
      <c r="L535" s="2"/>
      <c r="M535" s="2"/>
    </row>
    <row r="536" spans="3:13">
      <c r="C536" s="2"/>
      <c r="D536" s="117"/>
      <c r="E536" s="118">
        <v>1981</v>
      </c>
      <c r="F536" s="119">
        <v>8.0199999999999994E-2</v>
      </c>
      <c r="G536" s="120">
        <v>6.2600000000000003E-2</v>
      </c>
      <c r="H536" s="112"/>
      <c r="I536" s="112"/>
      <c r="J536" s="2"/>
      <c r="K536" s="2"/>
      <c r="L536" s="2"/>
      <c r="M536" s="2"/>
    </row>
    <row r="537" spans="3:13">
      <c r="C537" s="2"/>
      <c r="D537" s="117"/>
      <c r="E537" s="118">
        <v>1982</v>
      </c>
      <c r="F537" s="119">
        <v>7.9500000000000001E-2</v>
      </c>
      <c r="G537" s="120">
        <v>6.2700000000000006E-2</v>
      </c>
      <c r="H537" s="112"/>
      <c r="I537" s="112"/>
      <c r="J537" s="2"/>
      <c r="K537" s="2"/>
      <c r="L537" s="2"/>
      <c r="M537" s="2"/>
    </row>
    <row r="538" spans="3:13">
      <c r="C538" s="2"/>
      <c r="D538" s="117"/>
      <c r="E538" s="118">
        <v>1983</v>
      </c>
      <c r="F538" s="119">
        <v>7.8200000000000006E-2</v>
      </c>
      <c r="G538" s="120">
        <v>6.3E-2</v>
      </c>
      <c r="H538" s="112"/>
      <c r="I538" s="112"/>
      <c r="J538" s="2"/>
      <c r="K538" s="2"/>
      <c r="L538" s="2"/>
      <c r="M538" s="2"/>
    </row>
    <row r="539" spans="3:13">
      <c r="C539" s="2"/>
      <c r="D539" s="117"/>
      <c r="E539" s="118" t="s">
        <v>1101</v>
      </c>
      <c r="F539" s="119">
        <v>7.0400000000000004E-2</v>
      </c>
      <c r="G539" s="120">
        <v>6.4699999999999994E-2</v>
      </c>
      <c r="H539" s="112"/>
      <c r="I539" s="112"/>
      <c r="J539" s="2"/>
      <c r="K539" s="2"/>
      <c r="L539" s="2"/>
      <c r="M539" s="2"/>
    </row>
    <row r="540" spans="3:13">
      <c r="C540" s="2"/>
      <c r="D540" s="117"/>
      <c r="E540" s="268">
        <v>1994</v>
      </c>
      <c r="F540" s="269">
        <v>5.3100000000000001E-2</v>
      </c>
      <c r="G540" s="121">
        <v>5.6000000000000001E-2</v>
      </c>
      <c r="H540" s="112"/>
      <c r="I540" s="112"/>
      <c r="J540" s="2"/>
      <c r="K540" s="2"/>
      <c r="L540" s="2"/>
      <c r="M540" s="2"/>
    </row>
    <row r="541" spans="3:13">
      <c r="C541" s="2"/>
      <c r="D541" s="117"/>
      <c r="E541" s="268">
        <v>1995</v>
      </c>
      <c r="F541" s="269">
        <v>3.5799999999999998E-2</v>
      </c>
      <c r="G541" s="121">
        <v>4.7300000000000002E-2</v>
      </c>
      <c r="H541" s="112"/>
      <c r="I541" s="112"/>
      <c r="J541" s="2"/>
      <c r="K541" s="2"/>
      <c r="L541" s="2"/>
      <c r="M541" s="2"/>
    </row>
    <row r="542" spans="3:13">
      <c r="C542" s="2"/>
      <c r="D542" s="117"/>
      <c r="E542" s="268">
        <v>1996</v>
      </c>
      <c r="F542" s="269">
        <v>2.7199999999999998E-2</v>
      </c>
      <c r="G542" s="121">
        <v>4.2599999999999999E-2</v>
      </c>
      <c r="H542" s="112"/>
      <c r="I542" s="112"/>
      <c r="J542" s="2"/>
      <c r="K542" s="2"/>
      <c r="L542" s="2"/>
      <c r="M542" s="2"/>
    </row>
    <row r="543" spans="3:13">
      <c r="C543" s="2"/>
      <c r="D543" s="117"/>
      <c r="E543" s="268">
        <v>1997</v>
      </c>
      <c r="F543" s="269">
        <v>2.6800000000000001E-2</v>
      </c>
      <c r="G543" s="121">
        <v>4.2200000000000001E-2</v>
      </c>
      <c r="H543" s="112"/>
      <c r="I543" s="112"/>
      <c r="J543" s="2"/>
      <c r="K543" s="2"/>
      <c r="L543" s="2"/>
      <c r="M543" s="2"/>
    </row>
    <row r="544" spans="3:13">
      <c r="C544" s="2"/>
      <c r="D544" s="117"/>
      <c r="E544" s="268">
        <v>1998</v>
      </c>
      <c r="F544" s="274">
        <v>2.41E-2</v>
      </c>
      <c r="G544" s="122">
        <v>3.7900000000000003E-2</v>
      </c>
      <c r="H544" s="112"/>
      <c r="I544" s="112"/>
      <c r="J544" s="2"/>
      <c r="K544" s="2"/>
      <c r="L544" s="2"/>
      <c r="M544" s="2"/>
    </row>
    <row r="545" spans="3:13">
      <c r="C545" s="2"/>
      <c r="D545" s="117"/>
      <c r="E545" s="268">
        <v>1999</v>
      </c>
      <c r="F545" s="274">
        <v>2.1600000000000001E-2</v>
      </c>
      <c r="G545" s="122">
        <v>3.3700000000000001E-2</v>
      </c>
      <c r="H545" s="112"/>
      <c r="I545" s="112"/>
      <c r="J545" s="2"/>
      <c r="K545" s="2"/>
      <c r="L545" s="2"/>
      <c r="M545" s="2"/>
    </row>
    <row r="546" spans="3:13">
      <c r="C546" s="2"/>
      <c r="D546" s="117"/>
      <c r="E546" s="268">
        <v>2000</v>
      </c>
      <c r="F546" s="274">
        <v>1.78E-2</v>
      </c>
      <c r="G546" s="122">
        <v>2.7300000000000001E-2</v>
      </c>
      <c r="H546" s="112"/>
      <c r="I546" s="112"/>
      <c r="J546" s="2"/>
      <c r="K546" s="2"/>
      <c r="L546" s="2"/>
      <c r="M546" s="2"/>
    </row>
    <row r="547" spans="3:13">
      <c r="C547" s="2"/>
      <c r="D547" s="117"/>
      <c r="E547" s="268">
        <v>2001</v>
      </c>
      <c r="F547" s="274">
        <v>1.0999999999999999E-2</v>
      </c>
      <c r="G547" s="122">
        <v>1.5800000000000002E-2</v>
      </c>
      <c r="H547" s="112"/>
      <c r="I547" s="112"/>
      <c r="J547" s="2"/>
      <c r="K547" s="2"/>
      <c r="L547" s="2"/>
      <c r="M547" s="2"/>
    </row>
    <row r="548" spans="3:13">
      <c r="C548" s="2"/>
      <c r="D548" s="117"/>
      <c r="E548" s="268">
        <v>2002</v>
      </c>
      <c r="F548" s="274">
        <v>1.0699999999999999E-2</v>
      </c>
      <c r="G548" s="122">
        <v>1.5299999999999999E-2</v>
      </c>
      <c r="H548" s="112"/>
      <c r="I548" s="112"/>
      <c r="J548" s="2"/>
      <c r="K548" s="2"/>
      <c r="L548" s="2"/>
      <c r="M548" s="2"/>
    </row>
    <row r="549" spans="3:13">
      <c r="C549" s="2"/>
      <c r="D549" s="117"/>
      <c r="E549" s="268">
        <v>2003</v>
      </c>
      <c r="F549" s="274">
        <v>1.15E-2</v>
      </c>
      <c r="G549" s="122">
        <v>1.3299999999999999E-2</v>
      </c>
      <c r="H549" s="112"/>
      <c r="I549" s="112"/>
      <c r="J549" s="2"/>
      <c r="K549" s="2"/>
      <c r="L549" s="2"/>
      <c r="M549" s="2"/>
    </row>
    <row r="550" spans="3:13">
      <c r="C550" s="2"/>
      <c r="D550" s="117"/>
      <c r="E550" s="268">
        <v>2004</v>
      </c>
      <c r="F550" s="274">
        <v>1.5699999999999999E-2</v>
      </c>
      <c r="G550" s="122">
        <v>6.3E-3</v>
      </c>
      <c r="H550" s="112"/>
      <c r="I550" s="112"/>
      <c r="J550" s="2"/>
      <c r="K550" s="2"/>
      <c r="L550" s="2"/>
      <c r="M550" s="2"/>
    </row>
    <row r="551" spans="3:13">
      <c r="C551" s="2"/>
      <c r="D551" s="117"/>
      <c r="E551" s="268">
        <v>2005</v>
      </c>
      <c r="F551" s="274">
        <v>1.6400000000000001E-2</v>
      </c>
      <c r="G551" s="122">
        <v>5.1000000000000004E-3</v>
      </c>
      <c r="H551" s="112"/>
      <c r="I551" s="112"/>
      <c r="J551" s="2"/>
      <c r="K551" s="2"/>
      <c r="L551" s="2"/>
      <c r="M551" s="2"/>
    </row>
    <row r="552" spans="3:13">
      <c r="C552" s="2"/>
      <c r="D552" s="117"/>
      <c r="E552" s="268">
        <v>2006</v>
      </c>
      <c r="F552" s="269">
        <v>1.61E-2</v>
      </c>
      <c r="G552" s="121">
        <v>5.7000000000000002E-3</v>
      </c>
      <c r="H552" s="112"/>
      <c r="I552" s="112"/>
      <c r="J552" s="2"/>
      <c r="K552" s="2"/>
      <c r="L552" s="2"/>
      <c r="M552" s="2"/>
    </row>
    <row r="553" spans="3:13">
      <c r="C553" s="2"/>
      <c r="D553" s="117"/>
      <c r="E553" s="268">
        <v>2007</v>
      </c>
      <c r="F553" s="269">
        <v>1.7000000000000001E-2</v>
      </c>
      <c r="G553" s="121">
        <v>4.1000000000000003E-3</v>
      </c>
      <c r="H553" s="112"/>
      <c r="I553" s="112"/>
      <c r="J553" s="2"/>
      <c r="K553" s="2"/>
      <c r="L553" s="2"/>
      <c r="M553" s="2"/>
    </row>
    <row r="554" spans="3:13">
      <c r="C554" s="2"/>
      <c r="D554" s="117"/>
      <c r="E554" s="268">
        <v>2008</v>
      </c>
      <c r="F554" s="269">
        <v>1.72E-2</v>
      </c>
      <c r="G554" s="121">
        <v>3.8E-3</v>
      </c>
      <c r="H554" s="112"/>
      <c r="I554" s="112"/>
      <c r="J554" s="2"/>
      <c r="K554" s="2"/>
      <c r="L554" s="2"/>
      <c r="M554" s="2"/>
    </row>
    <row r="555" spans="3:13" ht="15" thickBot="1">
      <c r="C555" s="2"/>
      <c r="D555" s="123"/>
      <c r="E555" s="124" t="s">
        <v>1108</v>
      </c>
      <c r="F555" s="125">
        <v>1.7299999999999999E-2</v>
      </c>
      <c r="G555" s="126">
        <v>3.5999999999999999E-3</v>
      </c>
      <c r="H555" s="112"/>
      <c r="I555" s="112"/>
      <c r="J555" s="2"/>
      <c r="K555" s="2"/>
      <c r="L555" s="2"/>
      <c r="M555" s="2"/>
    </row>
    <row r="556" spans="3:13">
      <c r="C556" s="2"/>
      <c r="D556" s="113" t="s">
        <v>1109</v>
      </c>
      <c r="E556" s="114" t="s">
        <v>1093</v>
      </c>
      <c r="F556" s="115">
        <v>0.1908</v>
      </c>
      <c r="G556" s="116">
        <v>2.18E-2</v>
      </c>
      <c r="H556" s="112"/>
      <c r="I556" s="112"/>
      <c r="J556" s="2"/>
      <c r="K556" s="2"/>
      <c r="L556" s="2"/>
      <c r="M556" s="2"/>
    </row>
    <row r="557" spans="3:13">
      <c r="C557" s="2"/>
      <c r="D557" s="117" t="s">
        <v>1110</v>
      </c>
      <c r="E557" s="268">
        <v>1975</v>
      </c>
      <c r="F557" s="269">
        <v>0.16339999999999999</v>
      </c>
      <c r="G557" s="121">
        <v>5.1299999999999998E-2</v>
      </c>
      <c r="H557" s="112"/>
      <c r="I557" s="112"/>
      <c r="J557" s="2"/>
      <c r="K557" s="2"/>
      <c r="L557" s="2"/>
      <c r="M557" s="2"/>
    </row>
    <row r="558" spans="3:13">
      <c r="C558" s="2"/>
      <c r="D558" s="117"/>
      <c r="E558" s="268">
        <v>1976</v>
      </c>
      <c r="F558" s="269">
        <v>0.15939999999999999</v>
      </c>
      <c r="G558" s="121">
        <v>5.5500000000000001E-2</v>
      </c>
      <c r="H558" s="112"/>
      <c r="I558" s="112"/>
      <c r="J558" s="2"/>
      <c r="K558" s="2"/>
      <c r="L558" s="2"/>
      <c r="M558" s="2"/>
    </row>
    <row r="559" spans="3:13">
      <c r="C559" s="2"/>
      <c r="D559" s="117"/>
      <c r="E559" s="268" t="s">
        <v>1111</v>
      </c>
      <c r="F559" s="269">
        <v>0.16139999999999999</v>
      </c>
      <c r="G559" s="121">
        <v>5.3400000000000003E-2</v>
      </c>
      <c r="H559" s="112"/>
      <c r="I559" s="112"/>
      <c r="J559" s="2"/>
      <c r="K559" s="2"/>
      <c r="L559" s="2"/>
      <c r="M559" s="2"/>
    </row>
    <row r="560" spans="3:13">
      <c r="C560" s="2"/>
      <c r="D560" s="117"/>
      <c r="E560" s="268" t="s">
        <v>1112</v>
      </c>
      <c r="F560" s="269">
        <v>0.15939999999999999</v>
      </c>
      <c r="G560" s="121">
        <v>5.5500000000000001E-2</v>
      </c>
      <c r="H560" s="112"/>
      <c r="I560" s="112"/>
      <c r="J560" s="2"/>
      <c r="K560" s="2"/>
      <c r="L560" s="2"/>
      <c r="M560" s="2"/>
    </row>
    <row r="561" spans="3:13">
      <c r="C561" s="2"/>
      <c r="D561" s="117"/>
      <c r="E561" s="268">
        <v>1981</v>
      </c>
      <c r="F561" s="269">
        <v>0.1479</v>
      </c>
      <c r="G561" s="121">
        <v>6.6000000000000003E-2</v>
      </c>
      <c r="H561" s="112"/>
      <c r="I561" s="112"/>
      <c r="J561" s="2"/>
      <c r="K561" s="2"/>
      <c r="L561" s="2"/>
      <c r="M561" s="2"/>
    </row>
    <row r="562" spans="3:13">
      <c r="C562" s="2"/>
      <c r="D562" s="117"/>
      <c r="E562" s="268">
        <v>1982</v>
      </c>
      <c r="F562" s="269">
        <v>0.14419999999999999</v>
      </c>
      <c r="G562" s="121">
        <v>6.8099999999999994E-2</v>
      </c>
      <c r="H562" s="112"/>
      <c r="I562" s="112"/>
      <c r="J562" s="2"/>
      <c r="K562" s="2"/>
      <c r="L562" s="2"/>
      <c r="M562" s="2"/>
    </row>
    <row r="563" spans="3:13">
      <c r="C563" s="2"/>
      <c r="D563" s="117"/>
      <c r="E563" s="268">
        <v>1983</v>
      </c>
      <c r="F563" s="269">
        <v>0.1368</v>
      </c>
      <c r="G563" s="121">
        <v>7.22E-2</v>
      </c>
      <c r="H563" s="112"/>
      <c r="I563" s="112"/>
      <c r="J563" s="2"/>
      <c r="K563" s="2"/>
      <c r="L563" s="2"/>
      <c r="M563" s="2"/>
    </row>
    <row r="564" spans="3:13">
      <c r="C564" s="2"/>
      <c r="D564" s="117"/>
      <c r="E564" s="268">
        <v>1984</v>
      </c>
      <c r="F564" s="269">
        <v>0.12939999999999999</v>
      </c>
      <c r="G564" s="121">
        <v>7.6399999999999996E-2</v>
      </c>
      <c r="H564" s="112"/>
      <c r="I564" s="112"/>
      <c r="J564" s="2"/>
      <c r="K564" s="2"/>
      <c r="L564" s="2"/>
      <c r="M564" s="2"/>
    </row>
    <row r="565" spans="3:13">
      <c r="C565" s="2"/>
      <c r="D565" s="117"/>
      <c r="E565" s="268">
        <v>1985</v>
      </c>
      <c r="F565" s="269">
        <v>0.122</v>
      </c>
      <c r="G565" s="121">
        <v>8.0600000000000005E-2</v>
      </c>
      <c r="H565" s="112"/>
      <c r="I565" s="112"/>
      <c r="J565" s="2"/>
      <c r="K565" s="2"/>
      <c r="L565" s="2"/>
      <c r="M565" s="2"/>
    </row>
    <row r="566" spans="3:13">
      <c r="C566" s="2"/>
      <c r="D566" s="117"/>
      <c r="E566" s="268">
        <v>1986</v>
      </c>
      <c r="F566" s="269">
        <v>0.11459999999999999</v>
      </c>
      <c r="G566" s="121">
        <v>8.48E-2</v>
      </c>
      <c r="H566" s="112"/>
      <c r="I566" s="112"/>
      <c r="J566" s="2"/>
      <c r="K566" s="2"/>
      <c r="L566" s="2"/>
      <c r="M566" s="2"/>
    </row>
    <row r="567" spans="3:13">
      <c r="C567" s="2"/>
      <c r="D567" s="117"/>
      <c r="E567" s="268" t="s">
        <v>1113</v>
      </c>
      <c r="F567" s="269">
        <v>8.1299999999999997E-2</v>
      </c>
      <c r="G567" s="121">
        <v>0.10349999999999999</v>
      </c>
      <c r="H567" s="112"/>
      <c r="I567" s="112"/>
      <c r="J567" s="2"/>
      <c r="K567" s="2"/>
      <c r="L567" s="2"/>
      <c r="M567" s="2"/>
    </row>
    <row r="568" spans="3:13">
      <c r="C568" s="2"/>
      <c r="D568" s="117"/>
      <c r="E568" s="268">
        <v>1994</v>
      </c>
      <c r="F568" s="269">
        <v>6.4600000000000005E-2</v>
      </c>
      <c r="G568" s="121">
        <v>9.8199999999999996E-2</v>
      </c>
      <c r="H568" s="112"/>
      <c r="I568" s="112"/>
      <c r="J568" s="2"/>
      <c r="K568" s="2"/>
      <c r="L568" s="2"/>
      <c r="M568" s="2"/>
    </row>
    <row r="569" spans="3:13">
      <c r="C569" s="2"/>
      <c r="D569" s="117"/>
      <c r="E569" s="268">
        <v>1995</v>
      </c>
      <c r="F569" s="269">
        <v>5.1700000000000003E-2</v>
      </c>
      <c r="G569" s="121">
        <v>9.0800000000000006E-2</v>
      </c>
      <c r="H569" s="112"/>
      <c r="I569" s="112"/>
      <c r="J569" s="2"/>
      <c r="K569" s="2"/>
      <c r="L569" s="2"/>
      <c r="M569" s="2"/>
    </row>
    <row r="570" spans="3:13">
      <c r="C570" s="2"/>
      <c r="D570" s="117"/>
      <c r="E570" s="268">
        <v>1996</v>
      </c>
      <c r="F570" s="269">
        <v>4.5199999999999997E-2</v>
      </c>
      <c r="G570" s="121">
        <v>8.7099999999999997E-2</v>
      </c>
      <c r="H570" s="112"/>
      <c r="I570" s="112"/>
      <c r="J570" s="2"/>
      <c r="K570" s="2"/>
      <c r="L570" s="2"/>
      <c r="M570" s="2"/>
    </row>
    <row r="571" spans="3:13">
      <c r="C571" s="2"/>
      <c r="D571" s="117"/>
      <c r="E571" s="268">
        <v>1997</v>
      </c>
      <c r="F571" s="269">
        <v>4.5199999999999997E-2</v>
      </c>
      <c r="G571" s="121">
        <v>8.7099999999999997E-2</v>
      </c>
      <c r="H571" s="112"/>
      <c r="I571" s="112"/>
      <c r="J571" s="2"/>
      <c r="K571" s="2"/>
      <c r="L571" s="2"/>
      <c r="M571" s="2"/>
    </row>
    <row r="572" spans="3:13">
      <c r="C572" s="2"/>
      <c r="D572" s="117"/>
      <c r="E572" s="268">
        <v>1998</v>
      </c>
      <c r="F572" s="274">
        <v>4.1200000000000001E-2</v>
      </c>
      <c r="G572" s="122">
        <v>7.7799999999999994E-2</v>
      </c>
      <c r="H572" s="112"/>
      <c r="I572" s="112"/>
      <c r="J572" s="2"/>
      <c r="K572" s="2"/>
      <c r="L572" s="2"/>
      <c r="M572" s="2"/>
    </row>
    <row r="573" spans="3:13">
      <c r="C573" s="2"/>
      <c r="D573" s="117"/>
      <c r="E573" s="268">
        <v>1999</v>
      </c>
      <c r="F573" s="274">
        <v>3.3300000000000003E-2</v>
      </c>
      <c r="G573" s="122">
        <v>5.9299999999999999E-2</v>
      </c>
      <c r="H573" s="112"/>
      <c r="I573" s="112"/>
      <c r="J573" s="2"/>
      <c r="K573" s="2"/>
      <c r="L573" s="2"/>
      <c r="M573" s="2"/>
    </row>
    <row r="574" spans="3:13">
      <c r="C574" s="2"/>
      <c r="D574" s="117"/>
      <c r="E574" s="268">
        <v>2000</v>
      </c>
      <c r="F574" s="274">
        <v>3.4000000000000002E-2</v>
      </c>
      <c r="G574" s="122">
        <v>6.0699999999999997E-2</v>
      </c>
      <c r="H574" s="112"/>
      <c r="I574" s="112"/>
      <c r="J574" s="2"/>
      <c r="K574" s="2"/>
      <c r="L574" s="2"/>
      <c r="M574" s="2"/>
    </row>
    <row r="575" spans="3:13">
      <c r="C575" s="2"/>
      <c r="D575" s="117"/>
      <c r="E575" s="268">
        <v>2001</v>
      </c>
      <c r="F575" s="274">
        <v>2.2100000000000002E-2</v>
      </c>
      <c r="G575" s="122">
        <v>3.2800000000000003E-2</v>
      </c>
      <c r="H575" s="112"/>
      <c r="I575" s="112"/>
      <c r="J575" s="2"/>
      <c r="K575" s="2"/>
      <c r="L575" s="2"/>
      <c r="M575" s="2"/>
    </row>
    <row r="576" spans="3:13">
      <c r="C576" s="2"/>
      <c r="D576" s="117"/>
      <c r="E576" s="268">
        <v>2002</v>
      </c>
      <c r="F576" s="274">
        <v>2.4199999999999999E-2</v>
      </c>
      <c r="G576" s="122">
        <v>3.78E-2</v>
      </c>
      <c r="H576" s="112"/>
      <c r="I576" s="112"/>
      <c r="J576" s="2"/>
      <c r="K576" s="2"/>
      <c r="L576" s="2"/>
      <c r="M576" s="2"/>
    </row>
    <row r="577" spans="3:13">
      <c r="C577" s="2"/>
      <c r="D577" s="117"/>
      <c r="E577" s="268">
        <v>2003</v>
      </c>
      <c r="F577" s="274">
        <v>2.2499999999999999E-2</v>
      </c>
      <c r="G577" s="122">
        <v>3.3000000000000002E-2</v>
      </c>
      <c r="H577" s="112"/>
      <c r="I577" s="112"/>
      <c r="J577" s="2"/>
      <c r="K577" s="2"/>
      <c r="L577" s="2"/>
      <c r="M577" s="2"/>
    </row>
    <row r="578" spans="3:13">
      <c r="C578" s="2"/>
      <c r="D578" s="117"/>
      <c r="E578" s="268">
        <v>2004</v>
      </c>
      <c r="F578" s="274">
        <v>1.6199999999999999E-2</v>
      </c>
      <c r="G578" s="122">
        <v>9.7999999999999997E-3</v>
      </c>
      <c r="H578" s="112"/>
      <c r="I578" s="112"/>
      <c r="J578" s="2"/>
      <c r="K578" s="2"/>
      <c r="L578" s="2"/>
      <c r="M578" s="2"/>
    </row>
    <row r="579" spans="3:13">
      <c r="C579" s="2"/>
      <c r="D579" s="117"/>
      <c r="E579" s="268">
        <v>2005</v>
      </c>
      <c r="F579" s="274">
        <v>1.6E-2</v>
      </c>
      <c r="G579" s="122">
        <v>8.0999999999999996E-3</v>
      </c>
      <c r="H579" s="112"/>
      <c r="I579" s="112"/>
      <c r="J579" s="2"/>
      <c r="K579" s="2"/>
      <c r="L579" s="2"/>
      <c r="M579" s="2"/>
    </row>
    <row r="580" spans="3:13">
      <c r="C580" s="2"/>
      <c r="D580" s="117"/>
      <c r="E580" s="268">
        <v>2006</v>
      </c>
      <c r="F580" s="274">
        <v>1.5900000000000001E-2</v>
      </c>
      <c r="G580" s="122">
        <v>8.8000000000000005E-3</v>
      </c>
      <c r="H580" s="112"/>
      <c r="I580" s="112"/>
      <c r="J580" s="2"/>
      <c r="K580" s="2"/>
      <c r="L580" s="2"/>
      <c r="M580" s="2"/>
    </row>
    <row r="581" spans="3:13">
      <c r="C581" s="2"/>
      <c r="D581" s="117"/>
      <c r="E581" s="268">
        <v>2007</v>
      </c>
      <c r="F581" s="269">
        <v>1.61E-2</v>
      </c>
      <c r="G581" s="121">
        <v>7.9000000000000008E-3</v>
      </c>
      <c r="H581" s="112"/>
      <c r="I581" s="112"/>
      <c r="J581" s="2"/>
      <c r="K581" s="2"/>
      <c r="L581" s="2"/>
      <c r="M581" s="2"/>
    </row>
    <row r="582" spans="3:13" ht="15" thickBot="1">
      <c r="C582" s="2"/>
      <c r="D582" s="123"/>
      <c r="E582" s="124" t="s">
        <v>1115</v>
      </c>
      <c r="F582" s="125">
        <v>1.6299999999999999E-2</v>
      </c>
      <c r="G582" s="126">
        <v>6.6E-3</v>
      </c>
      <c r="H582" s="112"/>
      <c r="I582" s="112"/>
      <c r="J582" s="2"/>
      <c r="K582" s="2"/>
      <c r="L582" s="2"/>
      <c r="M582" s="2"/>
    </row>
    <row r="583" spans="3:13">
      <c r="C583" s="2"/>
      <c r="D583" s="113" t="s">
        <v>1117</v>
      </c>
      <c r="E583" s="114" t="s">
        <v>1118</v>
      </c>
      <c r="F583" s="115">
        <v>0.46039999999999998</v>
      </c>
      <c r="G583" s="116">
        <v>4.9700000000000001E-2</v>
      </c>
      <c r="H583" s="112"/>
      <c r="I583" s="112"/>
      <c r="J583" s="2"/>
      <c r="K583" s="2"/>
      <c r="L583" s="2"/>
      <c r="M583" s="2"/>
    </row>
    <row r="584" spans="3:13">
      <c r="C584" s="2"/>
      <c r="D584" s="117"/>
      <c r="E584" s="268" t="s">
        <v>1120</v>
      </c>
      <c r="F584" s="269">
        <v>0.44919999999999999</v>
      </c>
      <c r="G584" s="121">
        <v>5.3800000000000001E-2</v>
      </c>
      <c r="H584" s="112"/>
      <c r="I584" s="112"/>
      <c r="J584" s="2"/>
      <c r="K584" s="2"/>
      <c r="L584" s="2"/>
      <c r="M584" s="2"/>
    </row>
    <row r="585" spans="3:13">
      <c r="C585" s="2"/>
      <c r="D585" s="117"/>
      <c r="E585" s="268" t="s">
        <v>1122</v>
      </c>
      <c r="F585" s="269">
        <v>0.40899999999999997</v>
      </c>
      <c r="G585" s="121">
        <v>5.1499999999999997E-2</v>
      </c>
      <c r="H585" s="112"/>
      <c r="I585" s="112"/>
      <c r="J585" s="2"/>
      <c r="K585" s="2"/>
      <c r="L585" s="2"/>
      <c r="M585" s="2"/>
    </row>
    <row r="586" spans="3:13">
      <c r="C586" s="2"/>
      <c r="D586" s="117"/>
      <c r="E586" s="268">
        <v>1987</v>
      </c>
      <c r="F586" s="269">
        <v>0.36749999999999999</v>
      </c>
      <c r="G586" s="121">
        <v>8.4900000000000003E-2</v>
      </c>
      <c r="H586" s="112"/>
      <c r="I586" s="112"/>
      <c r="J586" s="2"/>
      <c r="K586" s="2"/>
      <c r="L586" s="2"/>
      <c r="M586" s="2"/>
    </row>
    <row r="587" spans="3:13">
      <c r="C587" s="2"/>
      <c r="D587" s="117"/>
      <c r="E587" s="268" t="s">
        <v>1125</v>
      </c>
      <c r="F587" s="269">
        <v>0.34920000000000001</v>
      </c>
      <c r="G587" s="121">
        <v>9.3299999999999994E-2</v>
      </c>
      <c r="H587" s="112"/>
      <c r="I587" s="112"/>
      <c r="J587" s="2"/>
      <c r="K587" s="2"/>
      <c r="L587" s="2"/>
      <c r="M587" s="2"/>
    </row>
    <row r="588" spans="3:13">
      <c r="C588" s="2"/>
      <c r="D588" s="117"/>
      <c r="E588" s="268" t="s">
        <v>1127</v>
      </c>
      <c r="F588" s="269">
        <v>0.3246</v>
      </c>
      <c r="G588" s="121">
        <v>0.1142</v>
      </c>
      <c r="H588" s="112"/>
      <c r="I588" s="112"/>
      <c r="J588" s="2"/>
      <c r="K588" s="2"/>
      <c r="L588" s="2"/>
      <c r="M588" s="2"/>
    </row>
    <row r="589" spans="3:13">
      <c r="C589" s="2"/>
      <c r="D589" s="117"/>
      <c r="E589" s="268">
        <v>1996</v>
      </c>
      <c r="F589" s="269">
        <v>0.1278</v>
      </c>
      <c r="G589" s="121">
        <v>0.16800000000000001</v>
      </c>
      <c r="H589" s="112"/>
      <c r="I589" s="112"/>
      <c r="J589" s="2"/>
      <c r="K589" s="2"/>
      <c r="L589" s="2"/>
      <c r="M589" s="2"/>
    </row>
    <row r="590" spans="3:13">
      <c r="C590" s="2"/>
      <c r="D590" s="117"/>
      <c r="E590" s="268">
        <v>1997</v>
      </c>
      <c r="F590" s="269">
        <v>9.2399999999999996E-2</v>
      </c>
      <c r="G590" s="121">
        <v>0.1726</v>
      </c>
      <c r="H590" s="112"/>
      <c r="I590" s="112"/>
      <c r="J590" s="2"/>
      <c r="K590" s="2"/>
      <c r="L590" s="2"/>
      <c r="M590" s="2"/>
    </row>
    <row r="591" spans="3:13">
      <c r="C591" s="2"/>
      <c r="D591" s="117"/>
      <c r="E591" s="268">
        <v>1998</v>
      </c>
      <c r="F591" s="274">
        <v>6.5500000000000003E-2</v>
      </c>
      <c r="G591" s="122">
        <v>0.17499999999999999</v>
      </c>
      <c r="H591" s="112"/>
      <c r="I591" s="112"/>
      <c r="J591" s="2"/>
      <c r="K591" s="2"/>
      <c r="L591" s="2"/>
      <c r="M591" s="2"/>
    </row>
    <row r="592" spans="3:13">
      <c r="C592" s="2"/>
      <c r="D592" s="117"/>
      <c r="E592" s="268">
        <v>1999</v>
      </c>
      <c r="F592" s="274">
        <v>6.4799999999999996E-2</v>
      </c>
      <c r="G592" s="122">
        <v>0.17213999999999999</v>
      </c>
      <c r="H592" s="112"/>
      <c r="I592" s="112"/>
      <c r="J592" s="2"/>
      <c r="K592" s="2"/>
      <c r="L592" s="2"/>
      <c r="M592" s="2"/>
    </row>
    <row r="593" spans="3:13">
      <c r="C593" s="2"/>
      <c r="D593" s="117"/>
      <c r="E593" s="268">
        <v>2000</v>
      </c>
      <c r="F593" s="274">
        <v>6.3E-2</v>
      </c>
      <c r="G593" s="122">
        <v>0.16499</v>
      </c>
      <c r="H593" s="112"/>
      <c r="I593" s="112"/>
      <c r="J593" s="2"/>
      <c r="K593" s="2"/>
      <c r="L593" s="2"/>
      <c r="M593" s="2"/>
    </row>
    <row r="594" spans="3:13">
      <c r="C594" s="2"/>
      <c r="D594" s="117"/>
      <c r="E594" s="268">
        <v>2001</v>
      </c>
      <c r="F594" s="274">
        <v>5.7799999999999997E-2</v>
      </c>
      <c r="G594" s="122">
        <v>0.14353999999999997</v>
      </c>
      <c r="H594" s="112"/>
      <c r="I594" s="112"/>
      <c r="J594" s="2"/>
      <c r="K594" s="2"/>
      <c r="L594" s="2"/>
      <c r="M594" s="2"/>
    </row>
    <row r="595" spans="3:13">
      <c r="C595" s="2"/>
      <c r="D595" s="117"/>
      <c r="E595" s="268">
        <v>2002</v>
      </c>
      <c r="F595" s="274">
        <v>6.3399999999999998E-2</v>
      </c>
      <c r="G595" s="122">
        <v>0.16641999999999998</v>
      </c>
      <c r="H595" s="112"/>
      <c r="I595" s="112"/>
      <c r="J595" s="2"/>
      <c r="K595" s="2"/>
      <c r="L595" s="2"/>
      <c r="M595" s="2"/>
    </row>
    <row r="596" spans="3:13">
      <c r="C596" s="2"/>
      <c r="D596" s="117"/>
      <c r="E596" s="268">
        <v>2003</v>
      </c>
      <c r="F596" s="274">
        <v>6.0299999999999999E-2</v>
      </c>
      <c r="G596" s="122">
        <v>0.153364</v>
      </c>
      <c r="H596" s="112"/>
      <c r="I596" s="112"/>
      <c r="J596" s="2"/>
      <c r="K596" s="2"/>
      <c r="L596" s="2"/>
      <c r="M596" s="2"/>
    </row>
    <row r="597" spans="3:13">
      <c r="C597" s="2"/>
      <c r="D597" s="117"/>
      <c r="E597" s="268">
        <v>2004</v>
      </c>
      <c r="F597" s="274">
        <v>3.2300000000000002E-2</v>
      </c>
      <c r="G597" s="122">
        <v>1.9538E-2</v>
      </c>
      <c r="H597" s="112"/>
      <c r="I597" s="112"/>
      <c r="J597" s="2"/>
      <c r="K597" s="2"/>
      <c r="L597" s="2"/>
      <c r="M597" s="2"/>
    </row>
    <row r="598" spans="3:13">
      <c r="C598" s="2"/>
      <c r="D598" s="117"/>
      <c r="E598" s="268">
        <v>2005</v>
      </c>
      <c r="F598" s="274">
        <v>3.2899999999999999E-2</v>
      </c>
      <c r="G598" s="122">
        <v>1.619E-2</v>
      </c>
      <c r="H598" s="112"/>
      <c r="I598" s="112"/>
      <c r="J598" s="2"/>
      <c r="K598" s="2"/>
      <c r="L598" s="2"/>
      <c r="M598" s="2"/>
    </row>
    <row r="599" spans="3:13">
      <c r="C599" s="2"/>
      <c r="D599" s="117"/>
      <c r="E599" s="268">
        <v>2006</v>
      </c>
      <c r="F599" s="274">
        <v>3.1800000000000002E-2</v>
      </c>
      <c r="G599" s="122">
        <v>2.2700000000000001E-2</v>
      </c>
      <c r="H599" s="112"/>
      <c r="I599" s="112"/>
      <c r="J599" s="2"/>
      <c r="K599" s="2"/>
      <c r="L599" s="2"/>
      <c r="M599" s="2"/>
    </row>
    <row r="600" spans="3:13">
      <c r="C600" s="2"/>
      <c r="D600" s="117"/>
      <c r="E600" s="268">
        <v>2007</v>
      </c>
      <c r="F600" s="274">
        <v>3.3300000000000003E-2</v>
      </c>
      <c r="G600" s="122">
        <v>1.34E-2</v>
      </c>
      <c r="H600" s="112"/>
      <c r="I600" s="112"/>
      <c r="J600" s="2"/>
      <c r="K600" s="2"/>
      <c r="L600" s="2"/>
      <c r="M600" s="2"/>
    </row>
    <row r="601" spans="3:13" ht="15" thickBot="1">
      <c r="C601" s="2"/>
      <c r="D601" s="123"/>
      <c r="E601" s="124" t="s">
        <v>1115</v>
      </c>
      <c r="F601" s="125">
        <v>3.3300000000000003E-2</v>
      </c>
      <c r="G601" s="126">
        <v>1.34E-2</v>
      </c>
      <c r="H601" s="112"/>
      <c r="I601" s="112"/>
      <c r="J601" s="2"/>
      <c r="K601" s="2"/>
      <c r="L601" s="2"/>
      <c r="M601" s="2"/>
    </row>
    <row r="602" spans="3:13">
      <c r="C602" s="2"/>
      <c r="D602" s="1023" t="s">
        <v>631</v>
      </c>
      <c r="E602" s="114" t="s">
        <v>1140</v>
      </c>
      <c r="F602" s="127">
        <v>8.9899999999999994E-2</v>
      </c>
      <c r="G602" s="128">
        <v>8.6999999999999994E-3</v>
      </c>
      <c r="H602" s="112"/>
      <c r="I602" s="112"/>
      <c r="J602" s="2"/>
      <c r="K602" s="2"/>
      <c r="L602" s="2"/>
      <c r="M602" s="2"/>
    </row>
    <row r="603" spans="3:13" ht="15" thickBot="1">
      <c r="C603" s="2"/>
      <c r="D603" s="1024"/>
      <c r="E603" s="124" t="s">
        <v>1141</v>
      </c>
      <c r="F603" s="129">
        <v>6.7199999999999996E-2</v>
      </c>
      <c r="G603" s="130">
        <v>6.8999999999999999E-3</v>
      </c>
      <c r="H603" s="112"/>
      <c r="I603" s="112"/>
      <c r="J603" s="2"/>
      <c r="K603" s="2"/>
      <c r="L603" s="2"/>
      <c r="M603" s="2"/>
    </row>
    <row r="604" spans="3:13">
      <c r="C604" s="92"/>
      <c r="D604" s="59" t="s">
        <v>1142</v>
      </c>
      <c r="E604" s="60"/>
      <c r="F604" s="60"/>
      <c r="G604" s="60"/>
      <c r="H604" s="112"/>
      <c r="I604" s="60"/>
      <c r="J604" s="60"/>
      <c r="K604" s="60"/>
      <c r="L604" s="60"/>
      <c r="M604" s="60"/>
    </row>
    <row r="605" spans="3:13">
      <c r="C605" s="1"/>
      <c r="D605" s="2"/>
      <c r="E605" s="2"/>
      <c r="F605" s="2"/>
      <c r="G605" s="2"/>
      <c r="H605" s="2"/>
      <c r="I605" s="2"/>
      <c r="J605" s="2"/>
      <c r="K605" s="2"/>
      <c r="L605" s="2"/>
      <c r="M605" s="2"/>
    </row>
    <row r="606" spans="3:13" ht="17.5">
      <c r="C606" s="213" t="s">
        <v>1144</v>
      </c>
      <c r="D606" s="258" t="s">
        <v>1145</v>
      </c>
      <c r="E606" s="215"/>
      <c r="F606" s="215"/>
      <c r="G606" s="215"/>
      <c r="H606" s="215"/>
      <c r="I606" s="215"/>
      <c r="J606" s="215"/>
      <c r="K606" s="215"/>
      <c r="L606" s="215"/>
      <c r="M606" s="216"/>
    </row>
    <row r="607" spans="3:13" ht="15" thickBot="1">
      <c r="C607" s="2"/>
      <c r="D607" s="68"/>
      <c r="E607" s="68"/>
      <c r="F607" s="68"/>
      <c r="G607" s="68"/>
      <c r="H607" s="2"/>
      <c r="I607" s="2"/>
      <c r="J607" s="2"/>
      <c r="K607" s="2"/>
      <c r="L607" s="2"/>
      <c r="M607" s="2"/>
    </row>
    <row r="608" spans="3:13" ht="41.5" thickBot="1">
      <c r="C608" s="2"/>
      <c r="D608" s="131" t="s">
        <v>1089</v>
      </c>
      <c r="E608" s="110" t="s">
        <v>1146</v>
      </c>
      <c r="F608" s="110" t="s">
        <v>1147</v>
      </c>
      <c r="G608" s="111" t="s">
        <v>1092</v>
      </c>
      <c r="H608" s="2"/>
      <c r="I608" s="2"/>
      <c r="J608" s="2"/>
      <c r="K608" s="2"/>
      <c r="L608" s="2"/>
      <c r="M608" s="2"/>
    </row>
    <row r="609" spans="3:13">
      <c r="C609" s="2"/>
      <c r="D609" s="1023" t="s">
        <v>648</v>
      </c>
      <c r="E609" s="114" t="s">
        <v>1149</v>
      </c>
      <c r="F609" s="132">
        <v>5.9999999999999995E-4</v>
      </c>
      <c r="G609" s="133">
        <v>1.1999999999999999E-3</v>
      </c>
      <c r="H609" s="134"/>
      <c r="I609" s="2"/>
      <c r="J609" s="2"/>
      <c r="K609" s="2"/>
      <c r="L609" s="2"/>
      <c r="M609" s="2"/>
    </row>
    <row r="610" spans="3:13">
      <c r="C610" s="2"/>
      <c r="D610" s="1025"/>
      <c r="E610" s="268" t="s">
        <v>1151</v>
      </c>
      <c r="F610" s="277">
        <v>5.0000000000000001E-4</v>
      </c>
      <c r="G610" s="135">
        <v>1E-3</v>
      </c>
      <c r="H610" s="134"/>
      <c r="I610" s="2"/>
      <c r="J610" s="2"/>
      <c r="K610" s="2"/>
      <c r="L610" s="2"/>
      <c r="M610" s="2"/>
    </row>
    <row r="611" spans="3:13">
      <c r="C611" s="2"/>
      <c r="D611" s="1025"/>
      <c r="E611" s="268" t="s">
        <v>1141</v>
      </c>
      <c r="F611" s="277">
        <v>5.0000000000000001E-4</v>
      </c>
      <c r="G611" s="135">
        <v>1E-3</v>
      </c>
      <c r="H611" s="134"/>
      <c r="I611" s="2"/>
      <c r="J611" s="2"/>
      <c r="K611" s="2"/>
      <c r="L611" s="2"/>
      <c r="M611" s="2"/>
    </row>
    <row r="612" spans="3:13">
      <c r="C612" s="136"/>
      <c r="D612" s="1026" t="s">
        <v>1152</v>
      </c>
      <c r="E612" s="268" t="s">
        <v>1149</v>
      </c>
      <c r="F612" s="277">
        <v>1.1000000000000001E-3</v>
      </c>
      <c r="G612" s="135">
        <v>1.6999999999999999E-3</v>
      </c>
      <c r="H612" s="134"/>
      <c r="I612" s="2"/>
      <c r="J612" s="2"/>
      <c r="K612" s="2"/>
      <c r="L612" s="2"/>
      <c r="M612" s="2"/>
    </row>
    <row r="613" spans="3:13">
      <c r="C613" s="136"/>
      <c r="D613" s="1025"/>
      <c r="E613" s="268" t="s">
        <v>1151</v>
      </c>
      <c r="F613" s="277">
        <v>8.9999999999999998E-4</v>
      </c>
      <c r="G613" s="135">
        <v>1.4E-3</v>
      </c>
      <c r="H613" s="134"/>
      <c r="I613" s="2"/>
      <c r="J613" s="2"/>
      <c r="K613" s="2"/>
      <c r="L613" s="2"/>
      <c r="M613" s="2"/>
    </row>
    <row r="614" spans="3:13">
      <c r="C614" s="136"/>
      <c r="D614" s="1027"/>
      <c r="E614" s="268" t="s">
        <v>1141</v>
      </c>
      <c r="F614" s="277">
        <v>1E-3</v>
      </c>
      <c r="G614" s="135">
        <v>1.5E-3</v>
      </c>
      <c r="H614" s="134"/>
      <c r="I614" s="2"/>
      <c r="J614" s="2"/>
      <c r="K614" s="2"/>
      <c r="L614" s="2"/>
      <c r="M614" s="2"/>
    </row>
    <row r="615" spans="3:13">
      <c r="C615" s="136"/>
      <c r="D615" s="15" t="s">
        <v>1154</v>
      </c>
      <c r="E615" s="268" t="s">
        <v>1155</v>
      </c>
      <c r="F615" s="277">
        <v>5.1000000000000004E-3</v>
      </c>
      <c r="G615" s="135">
        <v>4.7999999999999996E-3</v>
      </c>
      <c r="H615" s="134"/>
      <c r="I615" s="2"/>
      <c r="J615" s="2"/>
      <c r="K615" s="2"/>
      <c r="L615" s="2"/>
      <c r="M615" s="2"/>
    </row>
    <row r="616" spans="3:13">
      <c r="C616" s="136"/>
      <c r="D616" s="15" t="s">
        <v>1156</v>
      </c>
      <c r="E616" s="278"/>
      <c r="F616" s="279">
        <v>0.73699999999999999</v>
      </c>
      <c r="G616" s="137">
        <v>0.05</v>
      </c>
      <c r="H616" s="134"/>
      <c r="I616" s="134"/>
      <c r="J616" s="2"/>
      <c r="K616" s="2"/>
      <c r="L616" s="2"/>
      <c r="M616" s="2"/>
    </row>
    <row r="617" spans="3:13">
      <c r="C617" s="136"/>
      <c r="D617" s="15" t="s">
        <v>1158</v>
      </c>
      <c r="E617" s="278"/>
      <c r="F617" s="279">
        <v>1.966</v>
      </c>
      <c r="G617" s="137">
        <v>0.17499999999999999</v>
      </c>
      <c r="H617" s="134"/>
      <c r="I617" s="134"/>
      <c r="J617" s="2"/>
      <c r="K617" s="2"/>
      <c r="L617" s="2"/>
      <c r="M617" s="2"/>
    </row>
    <row r="618" spans="3:13">
      <c r="C618" s="136"/>
      <c r="D618" s="15" t="s">
        <v>1159</v>
      </c>
      <c r="E618" s="278"/>
      <c r="F618" s="279">
        <v>1.966</v>
      </c>
      <c r="G618" s="137">
        <v>0.17499999999999999</v>
      </c>
      <c r="H618" s="134"/>
      <c r="I618" s="134"/>
      <c r="J618" s="2"/>
      <c r="K618" s="2"/>
      <c r="L618" s="2"/>
      <c r="M618" s="2"/>
    </row>
    <row r="619" spans="3:13">
      <c r="C619" s="136"/>
      <c r="D619" s="15" t="s">
        <v>1160</v>
      </c>
      <c r="E619" s="278"/>
      <c r="F619" s="279">
        <v>3.6999999999999998E-2</v>
      </c>
      <c r="G619" s="137">
        <v>6.7000000000000004E-2</v>
      </c>
      <c r="H619" s="134"/>
      <c r="I619" s="134"/>
      <c r="J619" s="2"/>
      <c r="K619" s="2"/>
      <c r="L619" s="2"/>
      <c r="M619" s="2"/>
    </row>
    <row r="620" spans="3:13">
      <c r="C620" s="136"/>
      <c r="D620" s="15" t="s">
        <v>1161</v>
      </c>
      <c r="E620" s="278"/>
      <c r="F620" s="279">
        <v>6.6000000000000003E-2</v>
      </c>
      <c r="G620" s="137">
        <v>0.17499999999999999</v>
      </c>
      <c r="H620" s="134"/>
      <c r="I620" s="134"/>
      <c r="J620" s="2"/>
      <c r="K620" s="2"/>
      <c r="L620" s="2"/>
      <c r="M620" s="2"/>
    </row>
    <row r="621" spans="3:13">
      <c r="C621" s="136"/>
      <c r="D621" s="15" t="s">
        <v>1162</v>
      </c>
      <c r="E621" s="278"/>
      <c r="F621" s="279">
        <v>1.966</v>
      </c>
      <c r="G621" s="137">
        <v>0.17499999999999999</v>
      </c>
      <c r="H621" s="134"/>
      <c r="I621" s="134"/>
      <c r="J621" s="2"/>
      <c r="K621" s="2"/>
      <c r="L621" s="2"/>
      <c r="M621" s="2"/>
    </row>
    <row r="622" spans="3:13">
      <c r="C622" s="136"/>
      <c r="D622" s="15" t="s">
        <v>1163</v>
      </c>
      <c r="E622" s="278"/>
      <c r="F622" s="279">
        <v>5.5E-2</v>
      </c>
      <c r="G622" s="137">
        <v>6.7000000000000004E-2</v>
      </c>
      <c r="H622" s="134"/>
      <c r="I622" s="134"/>
      <c r="J622" s="2"/>
      <c r="K622" s="2"/>
      <c r="L622" s="2"/>
      <c r="M622" s="2"/>
    </row>
    <row r="623" spans="3:13">
      <c r="C623" s="136"/>
      <c r="D623" s="15" t="s">
        <v>1164</v>
      </c>
      <c r="E623" s="278"/>
      <c r="F623" s="279">
        <v>0.19700000000000001</v>
      </c>
      <c r="G623" s="137">
        <v>0.17499999999999999</v>
      </c>
      <c r="H623" s="134"/>
      <c r="I623" s="134"/>
      <c r="J623" s="2"/>
      <c r="K623" s="2"/>
      <c r="L623" s="2"/>
      <c r="M623" s="2"/>
    </row>
    <row r="624" spans="3:13">
      <c r="C624" s="2"/>
      <c r="D624" s="138" t="s">
        <v>1167</v>
      </c>
      <c r="E624" s="278"/>
      <c r="F624" s="279">
        <v>0.19700000000000001</v>
      </c>
      <c r="G624" s="137">
        <v>0.17499999999999999</v>
      </c>
      <c r="H624" s="134"/>
      <c r="I624" s="134"/>
      <c r="J624" s="2"/>
      <c r="K624" s="2"/>
      <c r="L624" s="2"/>
      <c r="M624" s="2"/>
    </row>
    <row r="625" spans="3:13">
      <c r="C625" s="136"/>
      <c r="D625" s="15" t="s">
        <v>1168</v>
      </c>
      <c r="E625" s="278"/>
      <c r="F625" s="277">
        <v>5.0000000000000001E-4</v>
      </c>
      <c r="G625" s="137">
        <v>1E-3</v>
      </c>
      <c r="H625" s="134"/>
      <c r="I625" s="134"/>
      <c r="J625" s="2"/>
      <c r="K625" s="2"/>
      <c r="L625" s="2"/>
      <c r="M625" s="2"/>
    </row>
    <row r="626" spans="3:13">
      <c r="C626" s="136"/>
      <c r="D626" s="15" t="s">
        <v>1169</v>
      </c>
      <c r="E626" s="278"/>
      <c r="F626" s="279">
        <v>5.0000000000000001E-3</v>
      </c>
      <c r="G626" s="137">
        <v>5.0000000000000001E-3</v>
      </c>
      <c r="H626" s="134"/>
      <c r="I626" s="134"/>
      <c r="J626" s="2"/>
      <c r="K626" s="2"/>
      <c r="L626" s="2"/>
      <c r="M626" s="2"/>
    </row>
    <row r="627" spans="3:13" ht="15" thickBot="1">
      <c r="C627" s="2"/>
      <c r="D627" s="123" t="s">
        <v>1170</v>
      </c>
      <c r="E627" s="139"/>
      <c r="F627" s="140">
        <v>5.0000000000000001E-3</v>
      </c>
      <c r="G627" s="141">
        <v>5.0000000000000001E-3</v>
      </c>
      <c r="H627" s="134"/>
      <c r="I627" s="134"/>
      <c r="J627" s="2"/>
      <c r="K627" s="2"/>
      <c r="L627" s="2"/>
      <c r="M627" s="2"/>
    </row>
    <row r="628" spans="3:13">
      <c r="C628" s="2"/>
      <c r="D628" s="59" t="s">
        <v>1142</v>
      </c>
      <c r="E628" s="142"/>
      <c r="F628" s="142"/>
      <c r="G628" s="142"/>
      <c r="H628" s="134"/>
      <c r="I628" s="134"/>
      <c r="J628" s="2"/>
      <c r="K628" s="2"/>
      <c r="L628" s="2"/>
      <c r="M628" s="2"/>
    </row>
    <row r="629" spans="3:13">
      <c r="C629" s="2"/>
      <c r="D629" s="2"/>
      <c r="E629" s="2"/>
      <c r="F629" s="2"/>
      <c r="G629" s="2"/>
      <c r="H629" s="2"/>
      <c r="I629" s="2"/>
      <c r="J629" s="2"/>
      <c r="K629" s="2"/>
      <c r="L629" s="2"/>
      <c r="M629" s="2"/>
    </row>
    <row r="630" spans="3:13" ht="17.5">
      <c r="C630" s="213" t="s">
        <v>1172</v>
      </c>
      <c r="D630" s="258" t="s">
        <v>1173</v>
      </c>
      <c r="E630" s="280"/>
      <c r="F630" s="280"/>
      <c r="G630" s="280"/>
      <c r="H630" s="215"/>
      <c r="I630" s="215"/>
      <c r="J630" s="215"/>
      <c r="K630" s="215"/>
      <c r="L630" s="215"/>
      <c r="M630" s="216"/>
    </row>
    <row r="631" spans="3:13" ht="15" thickBot="1">
      <c r="C631" s="2"/>
      <c r="D631" s="88"/>
      <c r="E631" s="2"/>
      <c r="F631" s="2"/>
      <c r="G631" s="2"/>
      <c r="H631" s="2"/>
      <c r="I631" s="2"/>
      <c r="J631" s="2"/>
      <c r="K631" s="2"/>
      <c r="L631" s="2"/>
      <c r="M631" s="2"/>
    </row>
    <row r="632" spans="3:13" ht="54.5" thickBot="1">
      <c r="C632" s="2"/>
      <c r="D632" s="143" t="s">
        <v>1089</v>
      </c>
      <c r="E632" s="110" t="s">
        <v>1175</v>
      </c>
      <c r="F632" s="111" t="s">
        <v>1176</v>
      </c>
      <c r="G632" s="2"/>
      <c r="H632" s="2"/>
      <c r="I632" s="2"/>
      <c r="J632" s="2"/>
      <c r="K632" s="2"/>
      <c r="L632" s="2"/>
      <c r="M632" s="2"/>
    </row>
    <row r="633" spans="3:13">
      <c r="C633" s="2"/>
      <c r="D633" s="15" t="s">
        <v>1177</v>
      </c>
      <c r="E633" s="253">
        <v>0.11</v>
      </c>
      <c r="F633" s="47">
        <v>0.56999999999999995</v>
      </c>
      <c r="G633" s="2"/>
      <c r="H633" s="144"/>
      <c r="I633" s="144"/>
      <c r="J633" s="2"/>
      <c r="K633" s="2"/>
      <c r="L633" s="2"/>
      <c r="M633" s="2"/>
    </row>
    <row r="634" spans="3:13">
      <c r="C634" s="2"/>
      <c r="D634" s="15" t="s">
        <v>626</v>
      </c>
      <c r="E634" s="253">
        <v>0.64</v>
      </c>
      <c r="F634" s="47">
        <v>0.22</v>
      </c>
      <c r="G634" s="2"/>
      <c r="H634" s="144"/>
      <c r="I634" s="144"/>
      <c r="J634" s="2"/>
      <c r="K634" s="2"/>
      <c r="L634" s="2"/>
      <c r="M634" s="2"/>
    </row>
    <row r="635" spans="3:13">
      <c r="C635" s="2"/>
      <c r="D635" s="15" t="s">
        <v>673</v>
      </c>
      <c r="E635" s="253">
        <v>0.06</v>
      </c>
      <c r="F635" s="47">
        <v>0.45</v>
      </c>
      <c r="G635" s="2"/>
      <c r="H635" s="144"/>
      <c r="I635" s="144"/>
      <c r="J635" s="2"/>
      <c r="K635" s="2"/>
      <c r="L635" s="2"/>
      <c r="M635" s="2"/>
    </row>
    <row r="636" spans="3:13">
      <c r="C636" s="2"/>
      <c r="D636" s="15" t="s">
        <v>1179</v>
      </c>
      <c r="E636" s="253">
        <v>0.8</v>
      </c>
      <c r="F636" s="47">
        <v>0.26</v>
      </c>
      <c r="G636" s="2"/>
      <c r="H636" s="144"/>
      <c r="I636" s="144"/>
      <c r="J636" s="2"/>
      <c r="K636" s="2"/>
      <c r="L636" s="2"/>
      <c r="M636" s="2"/>
    </row>
    <row r="637" spans="3:13">
      <c r="C637" s="2"/>
      <c r="D637" s="15" t="s">
        <v>1180</v>
      </c>
      <c r="E637" s="253">
        <v>1.26</v>
      </c>
      <c r="F637" s="47">
        <v>0.22</v>
      </c>
      <c r="G637" s="2"/>
      <c r="H637" s="144"/>
      <c r="I637" s="144"/>
      <c r="J637" s="2"/>
      <c r="K637" s="2"/>
      <c r="L637" s="2"/>
      <c r="M637" s="2"/>
    </row>
    <row r="638" spans="3:13">
      <c r="C638" s="2"/>
      <c r="D638" s="15" t="s">
        <v>1181</v>
      </c>
      <c r="E638" s="253">
        <v>1.44</v>
      </c>
      <c r="F638" s="47">
        <v>0.26</v>
      </c>
      <c r="G638" s="2"/>
      <c r="H638" s="144"/>
      <c r="I638" s="144"/>
      <c r="J638" s="2"/>
      <c r="K638" s="2"/>
      <c r="L638" s="2"/>
      <c r="M638" s="2"/>
    </row>
    <row r="639" spans="3:13">
      <c r="C639" s="2"/>
      <c r="D639" s="15" t="s">
        <v>1182</v>
      </c>
      <c r="E639" s="253">
        <v>0.5</v>
      </c>
      <c r="F639" s="47">
        <v>0.22</v>
      </c>
      <c r="G639" s="2"/>
      <c r="H639" s="144"/>
      <c r="I639" s="144"/>
      <c r="J639" s="2"/>
      <c r="K639" s="2"/>
      <c r="L639" s="2"/>
      <c r="M639" s="2"/>
    </row>
    <row r="640" spans="3:13">
      <c r="C640" s="2"/>
      <c r="D640" s="15" t="s">
        <v>1184</v>
      </c>
      <c r="E640" s="281">
        <v>0.56999999999999995</v>
      </c>
      <c r="F640" s="47">
        <v>0.26</v>
      </c>
      <c r="G640" s="2"/>
      <c r="H640" s="144"/>
      <c r="I640" s="144"/>
      <c r="J640" s="2"/>
      <c r="K640" s="2"/>
      <c r="L640" s="2"/>
      <c r="M640" s="2"/>
    </row>
    <row r="641" spans="3:14">
      <c r="C641" s="2"/>
      <c r="D641" s="15" t="s">
        <v>734</v>
      </c>
      <c r="E641" s="281">
        <v>0</v>
      </c>
      <c r="F641" s="47">
        <v>0.3</v>
      </c>
      <c r="G641" s="2"/>
      <c r="H641" s="144"/>
      <c r="I641" s="144"/>
      <c r="J641" s="2"/>
      <c r="K641" s="2"/>
      <c r="L641" s="2"/>
      <c r="M641" s="2"/>
    </row>
    <row r="642" spans="3:14">
      <c r="C642" s="2"/>
      <c r="D642" s="15" t="s">
        <v>739</v>
      </c>
      <c r="E642" s="253">
        <v>7.06</v>
      </c>
      <c r="F642" s="47">
        <v>0.11</v>
      </c>
      <c r="G642" s="2"/>
      <c r="H642" s="144"/>
      <c r="I642" s="144"/>
      <c r="J642" s="2"/>
      <c r="K642" s="2"/>
      <c r="L642" s="2"/>
      <c r="M642" s="2"/>
    </row>
    <row r="643" spans="3:14">
      <c r="C643" s="2"/>
      <c r="D643" s="15" t="s">
        <v>637</v>
      </c>
      <c r="E643" s="253">
        <v>0.5</v>
      </c>
      <c r="F643" s="47">
        <v>0.22</v>
      </c>
      <c r="G643" s="2"/>
      <c r="H643" s="144"/>
      <c r="I643" s="144"/>
      <c r="J643" s="2"/>
      <c r="K643" s="2"/>
      <c r="L643" s="2"/>
      <c r="M643" s="2"/>
    </row>
    <row r="644" spans="3:14">
      <c r="C644" s="2"/>
      <c r="D644" s="15" t="s">
        <v>684</v>
      </c>
      <c r="E644" s="253">
        <v>0.56999999999999995</v>
      </c>
      <c r="F644" s="47">
        <v>0.26</v>
      </c>
      <c r="G644" s="2"/>
      <c r="H644" s="144"/>
      <c r="I644" s="144"/>
      <c r="J644" s="2"/>
      <c r="K644" s="2"/>
      <c r="L644" s="2"/>
      <c r="M644" s="2"/>
    </row>
    <row r="645" spans="3:14">
      <c r="C645" s="2"/>
      <c r="D645" s="145" t="s">
        <v>1186</v>
      </c>
      <c r="E645" s="146">
        <v>0.5</v>
      </c>
      <c r="F645" s="147">
        <v>0.22</v>
      </c>
      <c r="G645" s="2"/>
      <c r="H645" s="144"/>
      <c r="I645" s="144"/>
      <c r="J645" s="2"/>
      <c r="K645" s="2"/>
      <c r="L645" s="2"/>
      <c r="M645" s="2"/>
    </row>
    <row r="646" spans="3:14" ht="15" thickBot="1">
      <c r="C646" s="2"/>
      <c r="D646" s="148" t="s">
        <v>1187</v>
      </c>
      <c r="E646" s="57">
        <v>0.56999999999999995</v>
      </c>
      <c r="F646" s="149">
        <v>0.26</v>
      </c>
      <c r="G646" s="2"/>
      <c r="H646" s="144"/>
      <c r="I646" s="144"/>
      <c r="J646" s="2"/>
      <c r="K646" s="2"/>
      <c r="L646" s="2"/>
      <c r="M646" s="2"/>
    </row>
    <row r="647" spans="3:14">
      <c r="C647" s="2"/>
      <c r="D647" s="59" t="s">
        <v>1188</v>
      </c>
      <c r="E647" s="287"/>
      <c r="F647" s="287"/>
      <c r="G647" s="287"/>
      <c r="H647" s="287"/>
      <c r="I647" s="287"/>
      <c r="J647" s="2"/>
      <c r="K647" s="2"/>
      <c r="L647" s="2"/>
      <c r="M647" s="2"/>
    </row>
    <row r="648" spans="3:14">
      <c r="C648" s="2"/>
      <c r="D648" s="150" t="s">
        <v>1190</v>
      </c>
      <c r="E648" s="287"/>
      <c r="F648" s="287"/>
      <c r="G648" s="287"/>
      <c r="H648" s="287"/>
      <c r="I648" s="287"/>
      <c r="J648" s="2"/>
      <c r="K648" s="2"/>
      <c r="L648" s="2"/>
      <c r="M648" s="2"/>
    </row>
    <row r="651" spans="3:14" ht="15.5">
      <c r="C651" s="213" t="s">
        <v>1191</v>
      </c>
      <c r="D651" s="1028" t="s">
        <v>1192</v>
      </c>
      <c r="E651" s="1029"/>
      <c r="F651" s="1029"/>
      <c r="G651" s="1029"/>
      <c r="H651" s="1029"/>
      <c r="I651" s="215"/>
      <c r="J651" s="215"/>
      <c r="K651" s="215"/>
      <c r="L651" s="215"/>
      <c r="M651" s="216"/>
      <c r="N651" s="2"/>
    </row>
    <row r="652" spans="3:14" ht="15" thickBot="1">
      <c r="C652" s="106"/>
      <c r="D652" s="106"/>
      <c r="E652" s="106"/>
      <c r="F652" s="106"/>
      <c r="G652" s="106"/>
      <c r="H652" s="106"/>
      <c r="I652" s="106"/>
      <c r="J652" s="106"/>
      <c r="K652" s="106"/>
      <c r="L652" s="106"/>
      <c r="M652" s="106"/>
      <c r="N652" s="106"/>
    </row>
    <row r="653" spans="3:14" ht="54.5" thickBot="1">
      <c r="C653" s="1"/>
      <c r="D653" s="143" t="s">
        <v>1089</v>
      </c>
      <c r="E653" s="110" t="s">
        <v>1193</v>
      </c>
      <c r="F653" s="110" t="s">
        <v>1194</v>
      </c>
      <c r="G653" s="110" t="s">
        <v>1195</v>
      </c>
      <c r="H653" s="111" t="s">
        <v>404</v>
      </c>
      <c r="I653" s="2"/>
      <c r="J653" s="2"/>
      <c r="K653" s="2"/>
      <c r="L653" s="2"/>
      <c r="M653" s="2"/>
      <c r="N653" s="2"/>
    </row>
    <row r="654" spans="3:14" ht="15.5">
      <c r="C654" s="1"/>
      <c r="D654" s="151" t="s">
        <v>1196</v>
      </c>
      <c r="E654" s="152">
        <v>0.34300000000000003</v>
      </c>
      <c r="F654" s="152">
        <v>1.9E-2</v>
      </c>
      <c r="G654" s="152">
        <v>1.0999999999999999E-2</v>
      </c>
      <c r="H654" s="153" t="s">
        <v>512</v>
      </c>
      <c r="I654" s="17"/>
      <c r="J654" s="17"/>
      <c r="K654" s="17"/>
      <c r="L654" s="2"/>
      <c r="M654" s="2"/>
      <c r="N654" s="2"/>
    </row>
    <row r="655" spans="3:14" ht="15.5">
      <c r="C655" s="1"/>
      <c r="D655" s="18" t="s">
        <v>1197</v>
      </c>
      <c r="E655" s="282">
        <v>0.47199999999999998</v>
      </c>
      <c r="F655" s="282">
        <v>1.9E-2</v>
      </c>
      <c r="G655" s="282">
        <v>1.7999999999999999E-2</v>
      </c>
      <c r="H655" s="154" t="s">
        <v>512</v>
      </c>
      <c r="I655" s="17"/>
      <c r="J655" s="17"/>
      <c r="K655" s="17"/>
      <c r="L655" s="2"/>
      <c r="M655" s="2"/>
      <c r="N655" s="2"/>
    </row>
    <row r="656" spans="3:14">
      <c r="C656" s="1"/>
      <c r="D656" s="18" t="s">
        <v>525</v>
      </c>
      <c r="E656" s="282">
        <v>0.189</v>
      </c>
      <c r="F656" s="266">
        <v>7.0000000000000007E-2</v>
      </c>
      <c r="G656" s="266">
        <v>7.0000000000000001E-3</v>
      </c>
      <c r="H656" s="154" t="s">
        <v>512</v>
      </c>
      <c r="I656" s="17"/>
      <c r="J656" s="17"/>
      <c r="K656" s="17"/>
      <c r="L656" s="2"/>
      <c r="M656" s="2"/>
      <c r="N656" s="2"/>
    </row>
    <row r="657" spans="3:14" ht="15.5">
      <c r="C657" s="1"/>
      <c r="D657" s="18" t="s">
        <v>1199</v>
      </c>
      <c r="E657" s="283">
        <v>0.14000000000000001</v>
      </c>
      <c r="F657" s="284">
        <v>8.6999999999999994E-3</v>
      </c>
      <c r="G657" s="284">
        <v>3.0999999999999999E-3</v>
      </c>
      <c r="H657" s="154" t="s">
        <v>494</v>
      </c>
      <c r="I657" s="17"/>
      <c r="J657" s="17"/>
      <c r="K657" s="112"/>
      <c r="L657" s="155"/>
      <c r="M657" s="2"/>
      <c r="N657" s="2"/>
    </row>
    <row r="658" spans="3:14" ht="15.5">
      <c r="C658" s="1"/>
      <c r="D658" s="156" t="s">
        <v>1200</v>
      </c>
      <c r="E658" s="283">
        <v>0.161</v>
      </c>
      <c r="F658" s="284">
        <v>8.0999999999999996E-3</v>
      </c>
      <c r="G658" s="284">
        <v>3.2000000000000002E-3</v>
      </c>
      <c r="H658" s="154" t="s">
        <v>494</v>
      </c>
      <c r="I658" s="17"/>
      <c r="J658" s="17"/>
      <c r="K658" s="112"/>
      <c r="L658" s="155"/>
      <c r="M658" s="2"/>
      <c r="N658" s="2"/>
    </row>
    <row r="659" spans="3:14" ht="15.5">
      <c r="C659" s="1"/>
      <c r="D659" s="156" t="s">
        <v>1201</v>
      </c>
      <c r="E659" s="283">
        <v>0.11899999999999999</v>
      </c>
      <c r="F659" s="284">
        <v>2.5000000000000001E-3</v>
      </c>
      <c r="G659" s="284">
        <v>1.6999999999999999E-3</v>
      </c>
      <c r="H659" s="154" t="s">
        <v>494</v>
      </c>
      <c r="I659" s="17"/>
      <c r="J659" s="17"/>
      <c r="K659" s="112"/>
      <c r="L659" s="155"/>
      <c r="M659" s="2"/>
      <c r="N659" s="2"/>
    </row>
    <row r="660" spans="3:14">
      <c r="C660" s="1"/>
      <c r="D660" s="156" t="s">
        <v>476</v>
      </c>
      <c r="E660" s="282">
        <v>5.6000000000000001E-2</v>
      </c>
      <c r="F660" s="285">
        <v>1.2917147824303154E-3</v>
      </c>
      <c r="G660" s="274">
        <v>8.6692267277202364E-4</v>
      </c>
      <c r="H660" s="154" t="s">
        <v>494</v>
      </c>
      <c r="I660" s="17"/>
      <c r="J660" s="17"/>
      <c r="K660" s="17"/>
      <c r="L660" s="2"/>
      <c r="M660" s="2"/>
      <c r="N660" s="2"/>
    </row>
    <row r="661" spans="3:14">
      <c r="C661" s="71"/>
      <c r="D661" s="18" t="s">
        <v>558</v>
      </c>
      <c r="E661" s="152">
        <v>0.22500000000000001</v>
      </c>
      <c r="F661" s="274">
        <v>3.8999999999999998E-3</v>
      </c>
      <c r="G661" s="274">
        <v>7.1753814281706558E-3</v>
      </c>
      <c r="H661" s="154" t="s">
        <v>494</v>
      </c>
      <c r="I661" s="25"/>
      <c r="J661" s="17"/>
      <c r="K661" s="17"/>
      <c r="L661" s="2"/>
      <c r="M661" s="2"/>
      <c r="N661" s="2"/>
    </row>
    <row r="662" spans="3:14" ht="101">
      <c r="C662" s="71"/>
      <c r="D662" s="157" t="s">
        <v>565</v>
      </c>
      <c r="E662" s="282">
        <v>0.13600000000000001</v>
      </c>
      <c r="F662" s="274">
        <v>5.9999999999999995E-4</v>
      </c>
      <c r="G662" s="274">
        <v>4.3E-3</v>
      </c>
      <c r="H662" s="154" t="s">
        <v>494</v>
      </c>
      <c r="I662" s="17"/>
      <c r="J662" s="17"/>
      <c r="K662" s="17"/>
      <c r="L662" s="2"/>
      <c r="M662" s="2"/>
      <c r="N662" s="2"/>
    </row>
    <row r="663" spans="3:14" ht="15" thickBot="1">
      <c r="C663" s="71"/>
      <c r="D663" s="54" t="s">
        <v>571</v>
      </c>
      <c r="E663" s="158">
        <v>0.16600000000000001</v>
      </c>
      <c r="F663" s="159">
        <v>5.9999999999999995E-4</v>
      </c>
      <c r="G663" s="160">
        <v>5.3E-3</v>
      </c>
      <c r="H663" s="161" t="s">
        <v>494</v>
      </c>
      <c r="I663" s="17"/>
      <c r="J663" s="17"/>
      <c r="K663" s="17"/>
      <c r="L663" s="2"/>
      <c r="M663" s="2"/>
      <c r="N663" s="2"/>
    </row>
    <row r="664" spans="3:14">
      <c r="C664" s="71"/>
      <c r="D664" s="1020" t="s">
        <v>1204</v>
      </c>
      <c r="E664" s="1020"/>
      <c r="F664" s="1020"/>
      <c r="G664" s="1020"/>
      <c r="H664" s="1020"/>
      <c r="I664" s="1020"/>
      <c r="J664" s="1020"/>
      <c r="K664" s="1020"/>
      <c r="L664" s="1020"/>
      <c r="M664" s="1020"/>
      <c r="N664" s="2"/>
    </row>
    <row r="665" spans="3:14">
      <c r="C665" s="1"/>
      <c r="D665" s="1020" t="s">
        <v>1205</v>
      </c>
      <c r="E665" s="1020"/>
      <c r="F665" s="1020"/>
      <c r="G665" s="1020"/>
      <c r="H665" s="1020"/>
      <c r="I665" s="1020"/>
      <c r="J665" s="1020"/>
      <c r="K665" s="1020"/>
      <c r="L665" s="1020"/>
      <c r="M665" s="1020"/>
      <c r="N665" s="2"/>
    </row>
    <row r="666" spans="3:14">
      <c r="C666" s="1"/>
      <c r="D666" s="287"/>
      <c r="E666" s="287"/>
      <c r="F666" s="287"/>
      <c r="G666" s="287"/>
      <c r="H666" s="287"/>
      <c r="I666" s="287"/>
      <c r="J666" s="287"/>
      <c r="K666" s="287"/>
      <c r="L666" s="287"/>
      <c r="M666" s="287"/>
      <c r="N666" s="2"/>
    </row>
    <row r="667" spans="3:14" ht="15.5">
      <c r="C667" s="213" t="s">
        <v>1206</v>
      </c>
      <c r="D667" s="258" t="s">
        <v>1207</v>
      </c>
      <c r="E667" s="286"/>
      <c r="F667" s="286"/>
      <c r="G667" s="215"/>
      <c r="H667" s="215"/>
      <c r="I667" s="215"/>
      <c r="J667" s="215"/>
      <c r="K667" s="215"/>
      <c r="L667" s="215"/>
      <c r="M667" s="216"/>
      <c r="N667" s="2"/>
    </row>
    <row r="668" spans="3:14" ht="15" thickBot="1">
      <c r="C668" s="1"/>
      <c r="D668" s="287"/>
      <c r="E668" s="287"/>
      <c r="F668" s="287"/>
      <c r="G668" s="287"/>
      <c r="H668" s="287"/>
      <c r="I668" s="287"/>
      <c r="J668" s="287"/>
      <c r="K668" s="287"/>
      <c r="L668" s="287"/>
      <c r="M668" s="287"/>
      <c r="N668" s="2"/>
    </row>
    <row r="669" spans="3:14" ht="54.5" thickBot="1">
      <c r="C669" s="1"/>
      <c r="D669" s="143" t="s">
        <v>1089</v>
      </c>
      <c r="E669" s="110" t="s">
        <v>1193</v>
      </c>
      <c r="F669" s="110" t="s">
        <v>1194</v>
      </c>
      <c r="G669" s="110" t="s">
        <v>1195</v>
      </c>
      <c r="H669" s="111" t="s">
        <v>404</v>
      </c>
      <c r="I669" s="2"/>
      <c r="J669" s="2"/>
      <c r="K669" s="2"/>
      <c r="L669" s="2"/>
      <c r="M669" s="2"/>
      <c r="N669" s="2"/>
    </row>
    <row r="670" spans="3:14">
      <c r="C670" s="1"/>
      <c r="D670" s="162" t="s">
        <v>728</v>
      </c>
      <c r="E670" s="163">
        <v>1.4670000000000001</v>
      </c>
      <c r="F670" s="163">
        <v>1.4E-2</v>
      </c>
      <c r="G670" s="163">
        <v>0.01</v>
      </c>
      <c r="H670" s="164" t="s">
        <v>512</v>
      </c>
      <c r="I670" s="165"/>
      <c r="J670" s="165"/>
      <c r="K670" s="165"/>
      <c r="L670" s="2"/>
      <c r="M670" s="2"/>
      <c r="N670" s="2"/>
    </row>
    <row r="671" spans="3:14" ht="15.5">
      <c r="C671" s="1"/>
      <c r="D671" s="145" t="s">
        <v>1196</v>
      </c>
      <c r="E671" s="282">
        <v>0.34300000000000003</v>
      </c>
      <c r="F671" s="282">
        <v>1.9E-2</v>
      </c>
      <c r="G671" s="282">
        <v>1.0999999999999999E-2</v>
      </c>
      <c r="H671" s="166" t="s">
        <v>512</v>
      </c>
      <c r="I671" s="165"/>
      <c r="J671" s="165"/>
      <c r="K671" s="165"/>
      <c r="L671" s="2"/>
      <c r="M671" s="2"/>
      <c r="N671" s="2"/>
    </row>
    <row r="672" spans="3:14" ht="16" thickBot="1">
      <c r="C672" s="1"/>
      <c r="D672" s="148" t="s">
        <v>1197</v>
      </c>
      <c r="E672" s="158">
        <v>0.47199999999999998</v>
      </c>
      <c r="F672" s="158">
        <v>1.9E-2</v>
      </c>
      <c r="G672" s="158">
        <v>1.7999999999999999E-2</v>
      </c>
      <c r="H672" s="167" t="s">
        <v>512</v>
      </c>
      <c r="I672" s="165"/>
      <c r="J672" s="165"/>
      <c r="K672" s="165"/>
      <c r="L672" s="2"/>
      <c r="M672" s="2"/>
      <c r="N672" s="2"/>
    </row>
    <row r="673" spans="3:37" ht="15.5">
      <c r="C673" s="1"/>
      <c r="D673" s="162" t="s">
        <v>1210</v>
      </c>
      <c r="E673" s="163">
        <v>0.20233797801439316</v>
      </c>
      <c r="F673" s="168">
        <v>2.0038423175478401E-3</v>
      </c>
      <c r="G673" s="168">
        <v>1.5129681927794096E-3</v>
      </c>
      <c r="H673" s="164" t="s">
        <v>528</v>
      </c>
      <c r="I673" s="165"/>
      <c r="J673" s="165"/>
      <c r="K673" s="165"/>
      <c r="L673" s="2"/>
      <c r="M673" s="2"/>
      <c r="N673" s="2"/>
    </row>
    <row r="674" spans="3:37">
      <c r="C674" s="1"/>
      <c r="D674" s="15" t="s">
        <v>490</v>
      </c>
      <c r="E674" s="282">
        <v>2.3E-2</v>
      </c>
      <c r="F674" s="274">
        <v>1.8E-3</v>
      </c>
      <c r="G674" s="274">
        <v>5.9999999999999995E-4</v>
      </c>
      <c r="H674" s="169" t="s">
        <v>528</v>
      </c>
      <c r="I674" s="165"/>
      <c r="J674" s="165"/>
      <c r="K674" s="165"/>
      <c r="L674" s="2"/>
      <c r="M674" s="2"/>
      <c r="N674" s="2"/>
    </row>
    <row r="675" spans="3:37">
      <c r="C675" s="1"/>
      <c r="D675" s="15" t="s">
        <v>744</v>
      </c>
      <c r="E675" s="266">
        <v>5.8999999999999997E-2</v>
      </c>
      <c r="F675" s="269">
        <v>5.0000000000000001E-4</v>
      </c>
      <c r="G675" s="269">
        <v>4.0000000000000001E-3</v>
      </c>
      <c r="H675" s="169" t="s">
        <v>528</v>
      </c>
      <c r="I675" s="165"/>
      <c r="J675" s="165"/>
      <c r="K675" s="165"/>
      <c r="L675" s="2"/>
      <c r="M675" s="2"/>
      <c r="N675" s="2"/>
    </row>
    <row r="676" spans="3:37" ht="15" thickBot="1">
      <c r="C676" s="1"/>
      <c r="D676" s="148" t="s">
        <v>748</v>
      </c>
      <c r="E676" s="158">
        <v>1.3080000000000001</v>
      </c>
      <c r="F676" s="170">
        <v>0</v>
      </c>
      <c r="G676" s="125">
        <v>4.02E-2</v>
      </c>
      <c r="H676" s="167" t="s">
        <v>528</v>
      </c>
      <c r="I676" s="165"/>
      <c r="J676" s="165"/>
      <c r="K676" s="165"/>
      <c r="L676" s="2"/>
      <c r="M676" s="2"/>
      <c r="N676" s="2"/>
    </row>
    <row r="680" spans="3:37">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1"/>
      <c r="AA680" s="171"/>
      <c r="AB680" s="171"/>
      <c r="AC680" s="171"/>
      <c r="AD680" s="171"/>
      <c r="AE680" s="171"/>
      <c r="AF680" s="171"/>
      <c r="AG680" s="171"/>
      <c r="AH680" s="171"/>
      <c r="AI680" s="171"/>
      <c r="AJ680" s="171"/>
      <c r="AK680" s="171"/>
    </row>
    <row r="681" spans="3:37">
      <c r="C681" s="194"/>
      <c r="D681" s="194"/>
      <c r="E681" s="194"/>
      <c r="F681" s="1021" t="s">
        <v>342</v>
      </c>
      <c r="G681" s="1021"/>
      <c r="H681" s="1021"/>
      <c r="I681" s="1021"/>
      <c r="J681" s="1021" t="s">
        <v>339</v>
      </c>
      <c r="K681" s="1021"/>
      <c r="L681" s="1021"/>
      <c r="M681" s="1021"/>
      <c r="N681" s="1021" t="s">
        <v>311</v>
      </c>
      <c r="O681" s="1021"/>
      <c r="P681" s="1021"/>
      <c r="Q681" s="1021"/>
      <c r="R681" s="1021" t="s">
        <v>1213</v>
      </c>
      <c r="S681" s="1021"/>
      <c r="T681" s="1021"/>
      <c r="U681" s="1021"/>
      <c r="V681" s="1021" t="s">
        <v>1214</v>
      </c>
      <c r="W681" s="1021"/>
      <c r="X681" s="1021"/>
      <c r="Y681" s="1021"/>
      <c r="Z681" s="194"/>
      <c r="AA681" s="194"/>
      <c r="AB681" s="194"/>
      <c r="AC681" s="194"/>
      <c r="AD681" s="194"/>
      <c r="AE681" s="194"/>
      <c r="AF681" s="194"/>
      <c r="AG681" s="194"/>
      <c r="AH681" s="194"/>
      <c r="AI681" s="194"/>
      <c r="AJ681" s="194"/>
      <c r="AK681" s="194"/>
    </row>
    <row r="682" spans="3:37" ht="16.5">
      <c r="C682" s="195" t="s">
        <v>1129</v>
      </c>
      <c r="D682" s="195" t="s">
        <v>1215</v>
      </c>
      <c r="E682" s="195" t="s">
        <v>860</v>
      </c>
      <c r="F682" s="196" t="s">
        <v>1131</v>
      </c>
      <c r="G682" s="196" t="s">
        <v>1132</v>
      </c>
      <c r="H682" s="196" t="s">
        <v>1133</v>
      </c>
      <c r="I682" s="196" t="s">
        <v>1134</v>
      </c>
      <c r="J682" s="196" t="s">
        <v>1131</v>
      </c>
      <c r="K682" s="196" t="s">
        <v>1132</v>
      </c>
      <c r="L682" s="196" t="s">
        <v>1133</v>
      </c>
      <c r="M682" s="196" t="s">
        <v>1134</v>
      </c>
      <c r="N682" s="196" t="s">
        <v>1131</v>
      </c>
      <c r="O682" s="196" t="s">
        <v>1132</v>
      </c>
      <c r="P682" s="196" t="s">
        <v>1133</v>
      </c>
      <c r="Q682" s="196" t="s">
        <v>1134</v>
      </c>
      <c r="R682" s="196" t="s">
        <v>1131</v>
      </c>
      <c r="S682" s="196" t="s">
        <v>1132</v>
      </c>
      <c r="T682" s="196" t="s">
        <v>1133</v>
      </c>
      <c r="U682" s="196" t="s">
        <v>1134</v>
      </c>
      <c r="V682" s="196" t="s">
        <v>1131</v>
      </c>
      <c r="W682" s="196" t="s">
        <v>1132</v>
      </c>
      <c r="X682" s="196" t="s">
        <v>1133</v>
      </c>
      <c r="Y682" s="196" t="s">
        <v>1134</v>
      </c>
      <c r="Z682" s="194"/>
      <c r="AA682" s="194"/>
      <c r="AB682" s="194"/>
      <c r="AC682" s="194"/>
      <c r="AD682" s="194"/>
      <c r="AE682" s="194"/>
      <c r="AF682" s="194"/>
      <c r="AG682" s="194"/>
      <c r="AH682" s="194"/>
      <c r="AI682" s="194"/>
      <c r="AJ682" s="194"/>
      <c r="AK682" s="194"/>
    </row>
    <row r="683" spans="3:37">
      <c r="C683" s="1018" t="s">
        <v>1216</v>
      </c>
      <c r="D683" s="1018" t="s">
        <v>1217</v>
      </c>
      <c r="E683" s="196" t="s">
        <v>485</v>
      </c>
      <c r="F683" s="197">
        <v>0.11008999999999999</v>
      </c>
      <c r="G683" s="197">
        <v>0.10825</v>
      </c>
      <c r="H683" s="197">
        <v>4.3200000000000001E-6</v>
      </c>
      <c r="I683" s="197">
        <v>1.8400000000000001E-3</v>
      </c>
      <c r="J683" s="197">
        <v>0.13975000000000001</v>
      </c>
      <c r="K683" s="197">
        <v>0.13905000000000001</v>
      </c>
      <c r="L683" s="197">
        <v>3.2000000000000003E-4</v>
      </c>
      <c r="M683" s="197">
        <v>3.8000000000000002E-4</v>
      </c>
      <c r="N683" s="197">
        <v>0.13958000000000001</v>
      </c>
      <c r="O683" s="197">
        <v>0.13886999999999999</v>
      </c>
      <c r="P683" s="197">
        <v>3.2000000000000003E-4</v>
      </c>
      <c r="Q683" s="197">
        <v>3.8999999999999999E-4</v>
      </c>
      <c r="R683" s="197" t="s">
        <v>1218</v>
      </c>
      <c r="S683" s="197" t="s">
        <v>1218</v>
      </c>
      <c r="T683" s="197" t="s">
        <v>1218</v>
      </c>
      <c r="U683" s="197" t="s">
        <v>1218</v>
      </c>
      <c r="V683" s="197">
        <v>0</v>
      </c>
      <c r="W683" s="197">
        <v>0</v>
      </c>
      <c r="X683" s="197">
        <v>0</v>
      </c>
      <c r="Y683" s="197">
        <v>0</v>
      </c>
      <c r="Z683" s="178"/>
      <c r="AA683" s="178"/>
      <c r="AB683" s="178"/>
      <c r="AC683" s="178"/>
      <c r="AD683" s="178"/>
      <c r="AE683" s="178"/>
      <c r="AF683" s="178"/>
      <c r="AG683" s="178"/>
      <c r="AH683" s="178"/>
      <c r="AI683" s="178"/>
      <c r="AJ683" s="178"/>
      <c r="AK683" s="178"/>
    </row>
    <row r="684" spans="3:37">
      <c r="C684" s="1018"/>
      <c r="D684" s="1018"/>
      <c r="E684" s="196" t="s">
        <v>1220</v>
      </c>
      <c r="F684" s="197">
        <v>0.17719000000000001</v>
      </c>
      <c r="G684" s="197">
        <v>0.17421</v>
      </c>
      <c r="H684" s="197">
        <v>1.0000000000000001E-5</v>
      </c>
      <c r="I684" s="197">
        <v>2.97E-3</v>
      </c>
      <c r="J684" s="197">
        <v>0.22490000000000002</v>
      </c>
      <c r="K684" s="197">
        <v>0.22378000000000001</v>
      </c>
      <c r="L684" s="197">
        <v>5.1000000000000004E-4</v>
      </c>
      <c r="M684" s="197">
        <v>6.0999999999999997E-4</v>
      </c>
      <c r="N684" s="197">
        <v>0.22463</v>
      </c>
      <c r="O684" s="197">
        <v>0.22348999999999999</v>
      </c>
      <c r="P684" s="197">
        <v>5.1000000000000004E-4</v>
      </c>
      <c r="Q684" s="197">
        <v>6.3000000000000003E-4</v>
      </c>
      <c r="R684" s="197" t="s">
        <v>1218</v>
      </c>
      <c r="S684" s="197" t="s">
        <v>1218</v>
      </c>
      <c r="T684" s="197" t="s">
        <v>1218</v>
      </c>
      <c r="U684" s="197" t="s">
        <v>1218</v>
      </c>
      <c r="V684" s="197">
        <v>0</v>
      </c>
      <c r="W684" s="197">
        <v>0</v>
      </c>
      <c r="X684" s="197">
        <v>0</v>
      </c>
      <c r="Y684" s="197">
        <v>0</v>
      </c>
      <c r="Z684" s="178"/>
      <c r="AA684" s="178"/>
      <c r="AB684" s="178"/>
      <c r="AC684" s="178"/>
      <c r="AD684" s="178"/>
      <c r="AE684" s="178"/>
      <c r="AF684" s="178"/>
      <c r="AG684" s="178"/>
      <c r="AH684" s="178"/>
      <c r="AI684" s="178"/>
      <c r="AJ684" s="178"/>
      <c r="AK684" s="178"/>
    </row>
    <row r="685" spans="3:37">
      <c r="C685" s="1018"/>
      <c r="D685" s="1018" t="s">
        <v>1221</v>
      </c>
      <c r="E685" s="196" t="s">
        <v>485</v>
      </c>
      <c r="F685" s="197">
        <v>0.13449</v>
      </c>
      <c r="G685" s="197">
        <v>0.13264999999999999</v>
      </c>
      <c r="H685" s="197">
        <v>4.3200000000000001E-6</v>
      </c>
      <c r="I685" s="197">
        <v>1.8400000000000001E-3</v>
      </c>
      <c r="J685" s="197">
        <v>0.15537999999999999</v>
      </c>
      <c r="K685" s="197">
        <v>0.15468000000000001</v>
      </c>
      <c r="L685" s="197">
        <v>3.2000000000000003E-4</v>
      </c>
      <c r="M685" s="197">
        <v>3.8000000000000002E-4</v>
      </c>
      <c r="N685" s="197">
        <v>0.15240999999999999</v>
      </c>
      <c r="O685" s="197">
        <v>0.15154999999999999</v>
      </c>
      <c r="P685" s="197">
        <v>2.7E-4</v>
      </c>
      <c r="Q685" s="197">
        <v>5.9000000000000003E-4</v>
      </c>
      <c r="R685" s="197">
        <v>2.9350000000000001E-2</v>
      </c>
      <c r="S685" s="197">
        <v>2.9180000000000001E-2</v>
      </c>
      <c r="T685" s="197">
        <v>9.0000000000000006E-5</v>
      </c>
      <c r="U685" s="197">
        <v>8.0000000000000007E-5</v>
      </c>
      <c r="V685" s="197">
        <v>0</v>
      </c>
      <c r="W685" s="197">
        <v>0</v>
      </c>
      <c r="X685" s="197">
        <v>0</v>
      </c>
      <c r="Y685" s="197">
        <v>0</v>
      </c>
      <c r="Z685" s="178"/>
      <c r="AA685" s="178"/>
      <c r="AB685" s="178"/>
      <c r="AC685" s="178"/>
      <c r="AD685" s="178"/>
      <c r="AE685" s="178"/>
      <c r="AF685" s="178"/>
      <c r="AG685" s="178"/>
      <c r="AH685" s="178"/>
      <c r="AI685" s="178"/>
      <c r="AJ685" s="178"/>
      <c r="AK685" s="178"/>
    </row>
    <row r="686" spans="3:37">
      <c r="C686" s="1018"/>
      <c r="D686" s="1018"/>
      <c r="E686" s="196" t="s">
        <v>1220</v>
      </c>
      <c r="F686" s="197">
        <v>0.21647000000000002</v>
      </c>
      <c r="G686" s="197">
        <v>0.21349000000000001</v>
      </c>
      <c r="H686" s="197">
        <v>1.0000000000000001E-5</v>
      </c>
      <c r="I686" s="197">
        <v>2.97E-3</v>
      </c>
      <c r="J686" s="197">
        <v>0.25006</v>
      </c>
      <c r="K686" s="197">
        <v>0.24893999999999999</v>
      </c>
      <c r="L686" s="197">
        <v>5.1000000000000004E-4</v>
      </c>
      <c r="M686" s="197">
        <v>6.0999999999999997E-4</v>
      </c>
      <c r="N686" s="197">
        <v>0.24528</v>
      </c>
      <c r="O686" s="197">
        <v>0.24389</v>
      </c>
      <c r="P686" s="197">
        <v>4.4000000000000002E-4</v>
      </c>
      <c r="Q686" s="197">
        <v>9.5E-4</v>
      </c>
      <c r="R686" s="197">
        <v>4.7230000000000001E-2</v>
      </c>
      <c r="S686" s="197">
        <v>4.6960000000000002E-2</v>
      </c>
      <c r="T686" s="197">
        <v>1.3999999999999999E-4</v>
      </c>
      <c r="U686" s="197">
        <v>1.2999999999999999E-4</v>
      </c>
      <c r="V686" s="197">
        <v>0</v>
      </c>
      <c r="W686" s="197">
        <v>0</v>
      </c>
      <c r="X686" s="197">
        <v>0</v>
      </c>
      <c r="Y686" s="197">
        <v>0</v>
      </c>
      <c r="Z686" s="178"/>
      <c r="AA686" s="178"/>
      <c r="AB686" s="178"/>
      <c r="AC686" s="178"/>
      <c r="AD686" s="178"/>
      <c r="AE686" s="178"/>
      <c r="AF686" s="178"/>
      <c r="AG686" s="178"/>
      <c r="AH686" s="178"/>
      <c r="AI686" s="178"/>
      <c r="AJ686" s="178"/>
      <c r="AK686" s="178"/>
    </row>
    <row r="687" spans="3:37">
      <c r="C687" s="1018"/>
      <c r="D687" s="1018" t="s">
        <v>1222</v>
      </c>
      <c r="E687" s="196" t="s">
        <v>485</v>
      </c>
      <c r="F687" s="197">
        <v>0.14691000000000001</v>
      </c>
      <c r="G687" s="197">
        <v>0.14507</v>
      </c>
      <c r="H687" s="197">
        <v>4.3200000000000001E-6</v>
      </c>
      <c r="I687" s="197">
        <v>1.8400000000000001E-3</v>
      </c>
      <c r="J687" s="197">
        <v>0.18007999999999999</v>
      </c>
      <c r="K687" s="197">
        <v>0.17938000000000001</v>
      </c>
      <c r="L687" s="197">
        <v>3.2000000000000003E-4</v>
      </c>
      <c r="M687" s="197">
        <v>3.8000000000000002E-4</v>
      </c>
      <c r="N687" s="197">
        <v>0.16361999999999999</v>
      </c>
      <c r="O687" s="197">
        <v>0.16234999999999999</v>
      </c>
      <c r="P687" s="197">
        <v>1.6000000000000001E-4</v>
      </c>
      <c r="Q687" s="197">
        <v>1.1100000000000001E-3</v>
      </c>
      <c r="R687" s="197">
        <v>6.4000000000000001E-2</v>
      </c>
      <c r="S687" s="197">
        <v>6.3619999999999996E-2</v>
      </c>
      <c r="T687" s="197">
        <v>2.0000000000000001E-4</v>
      </c>
      <c r="U687" s="197">
        <v>1.8000000000000001E-4</v>
      </c>
      <c r="V687" s="197">
        <v>0</v>
      </c>
      <c r="W687" s="197">
        <v>0</v>
      </c>
      <c r="X687" s="197">
        <v>0</v>
      </c>
      <c r="Y687" s="197">
        <v>0</v>
      </c>
      <c r="Z687" s="178"/>
      <c r="AA687" s="178"/>
      <c r="AB687" s="178"/>
      <c r="AC687" s="178"/>
      <c r="AD687" s="178"/>
      <c r="AE687" s="178"/>
      <c r="AF687" s="178"/>
      <c r="AG687" s="178"/>
      <c r="AH687" s="178"/>
      <c r="AI687" s="178"/>
      <c r="AJ687" s="178"/>
      <c r="AK687" s="178"/>
    </row>
    <row r="688" spans="3:37">
      <c r="C688" s="1018"/>
      <c r="D688" s="1018"/>
      <c r="E688" s="196" t="s">
        <v>1220</v>
      </c>
      <c r="F688" s="197">
        <v>0.23644000000000001</v>
      </c>
      <c r="G688" s="197">
        <v>0.23346</v>
      </c>
      <c r="H688" s="197">
        <v>1.0000000000000001E-5</v>
      </c>
      <c r="I688" s="197">
        <v>2.97E-3</v>
      </c>
      <c r="J688" s="197">
        <v>0.2898</v>
      </c>
      <c r="K688" s="197">
        <v>0.28867999999999999</v>
      </c>
      <c r="L688" s="197">
        <v>5.1000000000000004E-4</v>
      </c>
      <c r="M688" s="197">
        <v>6.0999999999999997E-4</v>
      </c>
      <c r="N688" s="197">
        <v>0.26332</v>
      </c>
      <c r="O688" s="197">
        <v>0.26128000000000001</v>
      </c>
      <c r="P688" s="197">
        <v>2.5999999999999998E-4</v>
      </c>
      <c r="Q688" s="197">
        <v>1.7799999999999999E-3</v>
      </c>
      <c r="R688" s="197">
        <v>0.10299</v>
      </c>
      <c r="S688" s="197">
        <v>0.10238</v>
      </c>
      <c r="T688" s="197">
        <v>3.2000000000000003E-4</v>
      </c>
      <c r="U688" s="197">
        <v>2.9E-4</v>
      </c>
      <c r="V688" s="197">
        <v>0</v>
      </c>
      <c r="W688" s="197">
        <v>0</v>
      </c>
      <c r="X688" s="197">
        <v>0</v>
      </c>
      <c r="Y688" s="197">
        <v>0</v>
      </c>
      <c r="Z688" s="178"/>
      <c r="AA688" s="178"/>
      <c r="AB688" s="178"/>
      <c r="AC688" s="178"/>
      <c r="AD688" s="178"/>
      <c r="AE688" s="178"/>
      <c r="AF688" s="178"/>
      <c r="AG688" s="178"/>
      <c r="AH688" s="178"/>
      <c r="AI688" s="178"/>
      <c r="AJ688" s="178"/>
      <c r="AK688" s="178"/>
    </row>
    <row r="689" spans="3:37">
      <c r="C689" s="1018"/>
      <c r="D689" s="1018" t="s">
        <v>1224</v>
      </c>
      <c r="E689" s="196" t="s">
        <v>485</v>
      </c>
      <c r="F689" s="197">
        <v>0.16533</v>
      </c>
      <c r="G689" s="197">
        <v>0.16349</v>
      </c>
      <c r="H689" s="197">
        <v>4.3200000000000001E-6</v>
      </c>
      <c r="I689" s="197">
        <v>1.8400000000000001E-3</v>
      </c>
      <c r="J689" s="197">
        <v>0.20791999999999999</v>
      </c>
      <c r="K689" s="197">
        <v>0.20721999999999999</v>
      </c>
      <c r="L689" s="197">
        <v>3.2000000000000003E-4</v>
      </c>
      <c r="M689" s="197">
        <v>3.8000000000000002E-4</v>
      </c>
      <c r="N689" s="197">
        <v>0.17537</v>
      </c>
      <c r="O689" s="197">
        <v>0.17379</v>
      </c>
      <c r="P689" s="197">
        <v>8.0000000000000007E-5</v>
      </c>
      <c r="Q689" s="197">
        <v>1.5E-3</v>
      </c>
      <c r="R689" s="197">
        <v>7.4290000000000009E-2</v>
      </c>
      <c r="S689" s="197">
        <v>7.3830000000000007E-2</v>
      </c>
      <c r="T689" s="197">
        <v>2.2000000000000001E-4</v>
      </c>
      <c r="U689" s="197">
        <v>2.4000000000000001E-4</v>
      </c>
      <c r="V689" s="197">
        <v>0</v>
      </c>
      <c r="W689" s="197">
        <v>0</v>
      </c>
      <c r="X689" s="197">
        <v>0</v>
      </c>
      <c r="Y689" s="197">
        <v>0</v>
      </c>
      <c r="Z689" s="178"/>
      <c r="AA689" s="178"/>
      <c r="AB689" s="178"/>
      <c r="AC689" s="178"/>
      <c r="AD689" s="178"/>
      <c r="AE689" s="178"/>
      <c r="AF689" s="178"/>
      <c r="AG689" s="178"/>
      <c r="AH689" s="178"/>
      <c r="AI689" s="178"/>
      <c r="AJ689" s="178"/>
      <c r="AK689" s="178"/>
    </row>
    <row r="690" spans="3:37">
      <c r="C690" s="1018"/>
      <c r="D690" s="1018"/>
      <c r="E690" s="196" t="s">
        <v>1220</v>
      </c>
      <c r="F690" s="197">
        <v>0.2661</v>
      </c>
      <c r="G690" s="197">
        <v>0.26312000000000002</v>
      </c>
      <c r="H690" s="197">
        <v>1.0000000000000001E-5</v>
      </c>
      <c r="I690" s="197">
        <v>2.97E-3</v>
      </c>
      <c r="J690" s="197">
        <v>0.33461000000000002</v>
      </c>
      <c r="K690" s="197">
        <v>0.33349000000000001</v>
      </c>
      <c r="L690" s="197">
        <v>5.1000000000000004E-4</v>
      </c>
      <c r="M690" s="197">
        <v>6.0999999999999997E-4</v>
      </c>
      <c r="N690" s="197">
        <v>0.28223000000000004</v>
      </c>
      <c r="O690" s="197">
        <v>0.27968999999999999</v>
      </c>
      <c r="P690" s="197">
        <v>1.2999999999999999E-4</v>
      </c>
      <c r="Q690" s="197">
        <v>2.4099999999999998E-3</v>
      </c>
      <c r="R690" s="197">
        <v>0.11955</v>
      </c>
      <c r="S690" s="197">
        <v>0.11882</v>
      </c>
      <c r="T690" s="197">
        <v>3.5E-4</v>
      </c>
      <c r="U690" s="197">
        <v>3.8000000000000002E-4</v>
      </c>
      <c r="V690" s="197">
        <v>0</v>
      </c>
      <c r="W690" s="197">
        <v>0</v>
      </c>
      <c r="X690" s="197">
        <v>0</v>
      </c>
      <c r="Y690" s="197">
        <v>0</v>
      </c>
      <c r="Z690" s="178"/>
      <c r="AA690" s="178"/>
      <c r="AB690" s="178"/>
      <c r="AC690" s="178"/>
      <c r="AD690" s="178"/>
      <c r="AE690" s="178"/>
      <c r="AF690" s="178"/>
      <c r="AG690" s="178"/>
      <c r="AH690" s="178"/>
      <c r="AI690" s="178"/>
      <c r="AJ690" s="178"/>
      <c r="AK690" s="178"/>
    </row>
    <row r="691" spans="3:37">
      <c r="C691" s="1018"/>
      <c r="D691" s="1018" t="s">
        <v>1225</v>
      </c>
      <c r="E691" s="196" t="s">
        <v>485</v>
      </c>
      <c r="F691" s="197">
        <v>0.17524999999999999</v>
      </c>
      <c r="G691" s="197">
        <v>0.17341000000000001</v>
      </c>
      <c r="H691" s="197">
        <v>4.3200000000000001E-6</v>
      </c>
      <c r="I691" s="197">
        <v>1.8400000000000001E-3</v>
      </c>
      <c r="J691" s="197">
        <v>0.23658999999999999</v>
      </c>
      <c r="K691" s="197">
        <v>0.23588999999999999</v>
      </c>
      <c r="L691" s="197">
        <v>3.2000000000000003E-4</v>
      </c>
      <c r="M691" s="197">
        <v>3.8000000000000002E-4</v>
      </c>
      <c r="N691" s="197">
        <v>0.18909000000000001</v>
      </c>
      <c r="O691" s="197">
        <v>0.1875</v>
      </c>
      <c r="P691" s="197">
        <v>8.0000000000000007E-5</v>
      </c>
      <c r="Q691" s="197">
        <v>1.5100000000000001E-3</v>
      </c>
      <c r="R691" s="197">
        <v>7.5459999999999999E-2</v>
      </c>
      <c r="S691" s="197">
        <v>7.5020000000000003E-2</v>
      </c>
      <c r="T691" s="197">
        <v>2.3000000000000001E-4</v>
      </c>
      <c r="U691" s="197">
        <v>2.1000000000000001E-4</v>
      </c>
      <c r="V691" s="197" t="s">
        <v>1218</v>
      </c>
      <c r="W691" s="197" t="s">
        <v>1218</v>
      </c>
      <c r="X691" s="197" t="s">
        <v>1218</v>
      </c>
      <c r="Y691" s="197" t="s">
        <v>1218</v>
      </c>
      <c r="Z691" s="178"/>
      <c r="AA691" s="178"/>
      <c r="AB691" s="178"/>
      <c r="AC691" s="178"/>
      <c r="AD691" s="178"/>
      <c r="AE691" s="178"/>
      <c r="AF691" s="178"/>
      <c r="AG691" s="178"/>
      <c r="AH691" s="178"/>
      <c r="AI691" s="178"/>
      <c r="AJ691" s="178"/>
      <c r="AK691" s="178"/>
    </row>
    <row r="692" spans="3:37">
      <c r="C692" s="1018"/>
      <c r="D692" s="1018"/>
      <c r="E692" s="196" t="s">
        <v>1220</v>
      </c>
      <c r="F692" s="197">
        <v>0.28205999999999998</v>
      </c>
      <c r="G692" s="197">
        <v>0.27907999999999999</v>
      </c>
      <c r="H692" s="197">
        <v>1.0000000000000001E-5</v>
      </c>
      <c r="I692" s="197">
        <v>2.97E-3</v>
      </c>
      <c r="J692" s="197">
        <v>0.38075000000000003</v>
      </c>
      <c r="K692" s="197">
        <v>0.37963000000000002</v>
      </c>
      <c r="L692" s="197">
        <v>5.1000000000000004E-4</v>
      </c>
      <c r="M692" s="197">
        <v>6.0999999999999997E-4</v>
      </c>
      <c r="N692" s="197">
        <v>0.30431999999999998</v>
      </c>
      <c r="O692" s="197">
        <v>0.30175999999999997</v>
      </c>
      <c r="P692" s="197">
        <v>1.2E-4</v>
      </c>
      <c r="Q692" s="197">
        <v>2.4399999999999999E-3</v>
      </c>
      <c r="R692" s="197">
        <v>0.12143999999999999</v>
      </c>
      <c r="S692" s="197">
        <v>0.12073</v>
      </c>
      <c r="T692" s="197">
        <v>3.6999999999999999E-4</v>
      </c>
      <c r="U692" s="197">
        <v>3.4000000000000002E-4</v>
      </c>
      <c r="V692" s="197" t="s">
        <v>1218</v>
      </c>
      <c r="W692" s="197" t="s">
        <v>1218</v>
      </c>
      <c r="X692" s="197" t="s">
        <v>1218</v>
      </c>
      <c r="Y692" s="197" t="s">
        <v>1218</v>
      </c>
      <c r="Z692" s="178"/>
      <c r="AA692" s="178"/>
      <c r="AB692" s="178"/>
      <c r="AC692" s="178"/>
      <c r="AD692" s="178"/>
      <c r="AE692" s="178"/>
      <c r="AF692" s="178"/>
      <c r="AG692" s="178"/>
      <c r="AH692" s="178"/>
      <c r="AI692" s="178"/>
      <c r="AJ692" s="178"/>
      <c r="AK692" s="178"/>
    </row>
    <row r="693" spans="3:37">
      <c r="C693" s="1018"/>
      <c r="D693" s="1018" t="s">
        <v>1226</v>
      </c>
      <c r="E693" s="196" t="s">
        <v>485</v>
      </c>
      <c r="F693" s="197">
        <v>0.21285999999999999</v>
      </c>
      <c r="G693" s="197">
        <v>0.21102000000000001</v>
      </c>
      <c r="H693" s="197">
        <v>4.3200000000000001E-6</v>
      </c>
      <c r="I693" s="197">
        <v>1.8400000000000001E-3</v>
      </c>
      <c r="J693" s="197">
        <v>0.33566000000000001</v>
      </c>
      <c r="K693" s="197">
        <v>0.33495999999999998</v>
      </c>
      <c r="L693" s="197">
        <v>3.2000000000000003E-4</v>
      </c>
      <c r="M693" s="197">
        <v>3.8000000000000002E-4</v>
      </c>
      <c r="N693" s="197">
        <v>0.26918999999999998</v>
      </c>
      <c r="O693" s="197">
        <v>0.26787</v>
      </c>
      <c r="P693" s="197">
        <v>1.4999999999999999E-4</v>
      </c>
      <c r="Q693" s="197">
        <v>1.17E-3</v>
      </c>
      <c r="R693" s="197">
        <v>9.6339999999999995E-2</v>
      </c>
      <c r="S693" s="197">
        <v>9.5769999999999994E-2</v>
      </c>
      <c r="T693" s="197">
        <v>2.9999999999999997E-4</v>
      </c>
      <c r="U693" s="197">
        <v>2.7E-4</v>
      </c>
      <c r="V693" s="197">
        <v>0</v>
      </c>
      <c r="W693" s="197">
        <v>0</v>
      </c>
      <c r="X693" s="197">
        <v>0</v>
      </c>
      <c r="Y693" s="197">
        <v>0</v>
      </c>
      <c r="Z693" s="178"/>
      <c r="AA693" s="178"/>
      <c r="AB693" s="178"/>
      <c r="AC693" s="178"/>
      <c r="AD693" s="178"/>
      <c r="AE693" s="178"/>
      <c r="AF693" s="178"/>
      <c r="AG693" s="178"/>
      <c r="AH693" s="178"/>
      <c r="AI693" s="178"/>
      <c r="AJ693" s="178"/>
      <c r="AK693" s="178"/>
    </row>
    <row r="694" spans="3:37">
      <c r="C694" s="1018"/>
      <c r="D694" s="1018"/>
      <c r="E694" s="196" t="s">
        <v>1220</v>
      </c>
      <c r="F694" s="197">
        <v>0.34258</v>
      </c>
      <c r="G694" s="197">
        <v>0.33960000000000001</v>
      </c>
      <c r="H694" s="197">
        <v>1.0000000000000001E-5</v>
      </c>
      <c r="I694" s="197">
        <v>2.97E-3</v>
      </c>
      <c r="J694" s="197">
        <v>0.54019000000000006</v>
      </c>
      <c r="K694" s="197">
        <v>0.53907000000000005</v>
      </c>
      <c r="L694" s="197">
        <v>5.1000000000000004E-4</v>
      </c>
      <c r="M694" s="197">
        <v>6.0999999999999997E-4</v>
      </c>
      <c r="N694" s="197">
        <v>0.43321999999999999</v>
      </c>
      <c r="O694" s="197">
        <v>0.43108999999999997</v>
      </c>
      <c r="P694" s="197">
        <v>2.4000000000000001E-4</v>
      </c>
      <c r="Q694" s="197">
        <v>1.89E-3</v>
      </c>
      <c r="R694" s="197">
        <v>0.15503999999999998</v>
      </c>
      <c r="S694" s="197">
        <v>0.15412999999999999</v>
      </c>
      <c r="T694" s="197">
        <v>4.6999999999999999E-4</v>
      </c>
      <c r="U694" s="197">
        <v>4.4000000000000002E-4</v>
      </c>
      <c r="V694" s="197">
        <v>0</v>
      </c>
      <c r="W694" s="197">
        <v>0</v>
      </c>
      <c r="X694" s="197">
        <v>0</v>
      </c>
      <c r="Y694" s="197">
        <v>0</v>
      </c>
      <c r="Z694" s="178"/>
      <c r="AA694" s="178"/>
      <c r="AB694" s="178"/>
      <c r="AC694" s="178"/>
      <c r="AD694" s="178"/>
      <c r="AE694" s="178"/>
      <c r="AF694" s="178"/>
      <c r="AG694" s="178"/>
      <c r="AH694" s="178"/>
      <c r="AI694" s="178"/>
      <c r="AJ694" s="178"/>
      <c r="AK694" s="178"/>
    </row>
    <row r="695" spans="3:37">
      <c r="C695" s="1018"/>
      <c r="D695" s="1018" t="s">
        <v>1229</v>
      </c>
      <c r="E695" s="196" t="s">
        <v>485</v>
      </c>
      <c r="F695" s="197">
        <v>0.17332</v>
      </c>
      <c r="G695" s="197">
        <v>0.17147999999999999</v>
      </c>
      <c r="H695" s="197">
        <v>4.3200000000000001E-6</v>
      </c>
      <c r="I695" s="197">
        <v>1.8400000000000001E-3</v>
      </c>
      <c r="J695" s="197">
        <v>0.246</v>
      </c>
      <c r="K695" s="197">
        <v>0.24529999999999999</v>
      </c>
      <c r="L695" s="197">
        <v>3.2000000000000003E-4</v>
      </c>
      <c r="M695" s="197">
        <v>3.8000000000000002E-4</v>
      </c>
      <c r="N695" s="197">
        <v>0.23441000000000001</v>
      </c>
      <c r="O695" s="197">
        <v>0.23352999999999999</v>
      </c>
      <c r="P695" s="197">
        <v>2.7E-4</v>
      </c>
      <c r="Q695" s="197">
        <v>6.0999999999999997E-4</v>
      </c>
      <c r="R695" s="197">
        <v>7.9810000000000006E-2</v>
      </c>
      <c r="S695" s="197">
        <v>7.9350000000000004E-2</v>
      </c>
      <c r="T695" s="197">
        <v>2.4000000000000001E-4</v>
      </c>
      <c r="U695" s="197">
        <v>2.2000000000000001E-4</v>
      </c>
      <c r="V695" s="197">
        <v>0</v>
      </c>
      <c r="W695" s="197">
        <v>0</v>
      </c>
      <c r="X695" s="197">
        <v>0</v>
      </c>
      <c r="Y695" s="197">
        <v>0</v>
      </c>
      <c r="Z695" s="178"/>
      <c r="AA695" s="178"/>
      <c r="AB695" s="178"/>
      <c r="AC695" s="178"/>
      <c r="AD695" s="178"/>
      <c r="AE695" s="178"/>
      <c r="AF695" s="178"/>
      <c r="AG695" s="178"/>
      <c r="AH695" s="178"/>
      <c r="AI695" s="178"/>
      <c r="AJ695" s="178"/>
      <c r="AK695" s="178"/>
    </row>
    <row r="696" spans="3:37">
      <c r="C696" s="1018"/>
      <c r="D696" s="1018"/>
      <c r="E696" s="196" t="s">
        <v>1220</v>
      </c>
      <c r="F696" s="197">
        <v>0.27894999999999998</v>
      </c>
      <c r="G696" s="197">
        <v>0.27596999999999999</v>
      </c>
      <c r="H696" s="197">
        <v>1.0000000000000001E-5</v>
      </c>
      <c r="I696" s="197">
        <v>2.97E-3</v>
      </c>
      <c r="J696" s="197">
        <v>0.39590000000000003</v>
      </c>
      <c r="K696" s="197">
        <v>0.39478000000000002</v>
      </c>
      <c r="L696" s="197">
        <v>5.1000000000000004E-4</v>
      </c>
      <c r="M696" s="197">
        <v>6.0999999999999997E-4</v>
      </c>
      <c r="N696" s="197">
        <v>0.37723999999999996</v>
      </c>
      <c r="O696" s="197">
        <v>0.37581999999999999</v>
      </c>
      <c r="P696" s="197">
        <v>4.2999999999999999E-4</v>
      </c>
      <c r="Q696" s="197">
        <v>9.8999999999999999E-4</v>
      </c>
      <c r="R696" s="197">
        <v>0.12845000000000001</v>
      </c>
      <c r="S696" s="197">
        <v>0.12770000000000001</v>
      </c>
      <c r="T696" s="197">
        <v>3.8999999999999999E-4</v>
      </c>
      <c r="U696" s="197">
        <v>3.6000000000000002E-4</v>
      </c>
      <c r="V696" s="197">
        <v>0</v>
      </c>
      <c r="W696" s="197">
        <v>0</v>
      </c>
      <c r="X696" s="197">
        <v>0</v>
      </c>
      <c r="Y696" s="197">
        <v>0</v>
      </c>
      <c r="Z696" s="178"/>
      <c r="AA696" s="178"/>
      <c r="AB696" s="178"/>
      <c r="AC696" s="178"/>
      <c r="AD696" s="178"/>
      <c r="AE696" s="178"/>
      <c r="AF696" s="178"/>
      <c r="AG696" s="178"/>
      <c r="AH696" s="178"/>
      <c r="AI696" s="178"/>
      <c r="AJ696" s="178"/>
      <c r="AK696" s="178"/>
    </row>
    <row r="697" spans="3:37">
      <c r="C697" s="1018"/>
      <c r="D697" s="1018" t="s">
        <v>1230</v>
      </c>
      <c r="E697" s="196" t="s">
        <v>485</v>
      </c>
      <c r="F697" s="197">
        <v>0.20257</v>
      </c>
      <c r="G697" s="197">
        <v>0.20072999999999999</v>
      </c>
      <c r="H697" s="197">
        <v>4.3200000000000001E-6</v>
      </c>
      <c r="I697" s="197">
        <v>1.8400000000000001E-3</v>
      </c>
      <c r="J697" s="197">
        <v>0.23663000000000001</v>
      </c>
      <c r="K697" s="197">
        <v>0.23593</v>
      </c>
      <c r="L697" s="197">
        <v>3.2000000000000003E-4</v>
      </c>
      <c r="M697" s="197">
        <v>3.8000000000000002E-4</v>
      </c>
      <c r="N697" s="197">
        <v>0.20924999999999999</v>
      </c>
      <c r="O697" s="197">
        <v>0.20762</v>
      </c>
      <c r="P697" s="197">
        <v>6.9999999999999994E-5</v>
      </c>
      <c r="Q697" s="197">
        <v>1.56E-3</v>
      </c>
      <c r="R697" s="197">
        <v>7.6259999999999994E-2</v>
      </c>
      <c r="S697" s="197">
        <v>7.5810000000000002E-2</v>
      </c>
      <c r="T697" s="197">
        <v>2.3000000000000001E-4</v>
      </c>
      <c r="U697" s="197">
        <v>2.2000000000000001E-4</v>
      </c>
      <c r="V697" s="197">
        <v>0</v>
      </c>
      <c r="W697" s="197">
        <v>0</v>
      </c>
      <c r="X697" s="197">
        <v>0</v>
      </c>
      <c r="Y697" s="197">
        <v>0</v>
      </c>
      <c r="Z697" s="178"/>
      <c r="AA697" s="178"/>
      <c r="AB697" s="178"/>
      <c r="AC697" s="178"/>
      <c r="AD697" s="178"/>
      <c r="AE697" s="178"/>
      <c r="AF697" s="178"/>
      <c r="AG697" s="178"/>
      <c r="AH697" s="178"/>
      <c r="AI697" s="178"/>
      <c r="AJ697" s="178"/>
      <c r="AK697" s="178"/>
    </row>
    <row r="698" spans="3:37">
      <c r="C698" s="1018"/>
      <c r="D698" s="1018"/>
      <c r="E698" s="196" t="s">
        <v>1220</v>
      </c>
      <c r="F698" s="197">
        <v>0.32601999999999998</v>
      </c>
      <c r="G698" s="197">
        <v>0.32303999999999999</v>
      </c>
      <c r="H698" s="197">
        <v>1.0000000000000001E-5</v>
      </c>
      <c r="I698" s="197">
        <v>2.97E-3</v>
      </c>
      <c r="J698" s="197">
        <v>0.38081000000000004</v>
      </c>
      <c r="K698" s="197">
        <v>0.37969000000000003</v>
      </c>
      <c r="L698" s="197">
        <v>5.1000000000000004E-4</v>
      </c>
      <c r="M698" s="197">
        <v>6.0999999999999997E-4</v>
      </c>
      <c r="N698" s="197">
        <v>0.33674999999999999</v>
      </c>
      <c r="O698" s="197">
        <v>0.33412999999999998</v>
      </c>
      <c r="P698" s="197">
        <v>1.1E-4</v>
      </c>
      <c r="Q698" s="197">
        <v>2.5100000000000001E-3</v>
      </c>
      <c r="R698" s="197">
        <v>0.12272999999999999</v>
      </c>
      <c r="S698" s="197">
        <v>0.122</v>
      </c>
      <c r="T698" s="197">
        <v>3.6999999999999999E-4</v>
      </c>
      <c r="U698" s="197">
        <v>3.6000000000000002E-4</v>
      </c>
      <c r="V698" s="197">
        <v>0</v>
      </c>
      <c r="W698" s="197">
        <v>0</v>
      </c>
      <c r="X698" s="197">
        <v>0</v>
      </c>
      <c r="Y698" s="197">
        <v>0</v>
      </c>
      <c r="Z698" s="178"/>
      <c r="AA698" s="178"/>
      <c r="AB698" s="178"/>
      <c r="AC698" s="178"/>
      <c r="AD698" s="178"/>
      <c r="AE698" s="178"/>
      <c r="AF698" s="178"/>
      <c r="AG698" s="178"/>
      <c r="AH698" s="178"/>
      <c r="AI698" s="178"/>
      <c r="AJ698" s="178"/>
      <c r="AK698" s="178"/>
    </row>
    <row r="699" spans="3:37">
      <c r="C699" s="1018"/>
      <c r="D699" s="1018" t="s">
        <v>1232</v>
      </c>
      <c r="E699" s="196" t="s">
        <v>485</v>
      </c>
      <c r="F699" s="197">
        <v>0.18101</v>
      </c>
      <c r="G699" s="197">
        <v>0.17917</v>
      </c>
      <c r="H699" s="197">
        <v>4.3200000000000001E-6</v>
      </c>
      <c r="I699" s="197">
        <v>1.8400000000000001E-3</v>
      </c>
      <c r="J699" s="197">
        <v>0.19939999999999999</v>
      </c>
      <c r="K699" s="197">
        <v>0.19869999999999999</v>
      </c>
      <c r="L699" s="197">
        <v>3.2000000000000003E-4</v>
      </c>
      <c r="M699" s="197">
        <v>3.8000000000000002E-4</v>
      </c>
      <c r="N699" s="197">
        <v>0.18609999999999999</v>
      </c>
      <c r="O699" s="197">
        <v>0.18457000000000001</v>
      </c>
      <c r="P699" s="197">
        <v>9.0000000000000006E-5</v>
      </c>
      <c r="Q699" s="197">
        <v>1.4400000000000001E-3</v>
      </c>
      <c r="R699" s="197" t="s">
        <v>1218</v>
      </c>
      <c r="S699" s="197" t="s">
        <v>1218</v>
      </c>
      <c r="T699" s="197" t="s">
        <v>1218</v>
      </c>
      <c r="U699" s="197" t="s">
        <v>1218</v>
      </c>
      <c r="V699" s="197">
        <v>0</v>
      </c>
      <c r="W699" s="197">
        <v>0</v>
      </c>
      <c r="X699" s="197">
        <v>0</v>
      </c>
      <c r="Y699" s="197">
        <v>0</v>
      </c>
      <c r="Z699" s="178"/>
      <c r="AA699" s="178"/>
      <c r="AB699" s="178"/>
      <c r="AC699" s="178"/>
      <c r="AD699" s="178"/>
      <c r="AE699" s="178"/>
      <c r="AF699" s="178"/>
      <c r="AG699" s="178"/>
      <c r="AH699" s="178"/>
      <c r="AI699" s="178"/>
      <c r="AJ699" s="178"/>
      <c r="AK699" s="178"/>
    </row>
    <row r="700" spans="3:37">
      <c r="C700" s="1018"/>
      <c r="D700" s="1018"/>
      <c r="E700" s="196" t="s">
        <v>1220</v>
      </c>
      <c r="F700" s="197">
        <v>0.29132999999999998</v>
      </c>
      <c r="G700" s="197">
        <v>0.28835</v>
      </c>
      <c r="H700" s="197">
        <v>1.0000000000000001E-5</v>
      </c>
      <c r="I700" s="197">
        <v>2.97E-3</v>
      </c>
      <c r="J700" s="197">
        <v>0.32089000000000001</v>
      </c>
      <c r="K700" s="197">
        <v>0.31977</v>
      </c>
      <c r="L700" s="197">
        <v>5.1000000000000004E-4</v>
      </c>
      <c r="M700" s="197">
        <v>6.0999999999999997E-4</v>
      </c>
      <c r="N700" s="197">
        <v>0.29951</v>
      </c>
      <c r="O700" s="197">
        <v>0.29704000000000003</v>
      </c>
      <c r="P700" s="197">
        <v>1.4999999999999999E-4</v>
      </c>
      <c r="Q700" s="197">
        <v>2.32E-3</v>
      </c>
      <c r="R700" s="197" t="s">
        <v>1218</v>
      </c>
      <c r="S700" s="197" t="s">
        <v>1218</v>
      </c>
      <c r="T700" s="197" t="s">
        <v>1218</v>
      </c>
      <c r="U700" s="197" t="s">
        <v>1218</v>
      </c>
      <c r="V700" s="197">
        <v>0</v>
      </c>
      <c r="W700" s="197">
        <v>0</v>
      </c>
      <c r="X700" s="197">
        <v>0</v>
      </c>
      <c r="Y700" s="197">
        <v>0</v>
      </c>
      <c r="Z700" s="194"/>
      <c r="AA700" s="194"/>
      <c r="AB700" s="194"/>
      <c r="AC700" s="194"/>
      <c r="AD700" s="194"/>
      <c r="AE700" s="194"/>
      <c r="AF700" s="194"/>
      <c r="AG700" s="194"/>
      <c r="AH700" s="194"/>
      <c r="AI700" s="194"/>
      <c r="AJ700" s="194"/>
      <c r="AK700" s="194"/>
    </row>
    <row r="701" spans="3:37">
      <c r="C701" s="194"/>
      <c r="D701" s="194"/>
      <c r="E701" s="194"/>
      <c r="F701" s="194"/>
      <c r="G701" s="194"/>
      <c r="H701" s="194"/>
      <c r="I701" s="194"/>
      <c r="J701" s="194"/>
      <c r="K701" s="194"/>
      <c r="L701" s="194"/>
      <c r="M701" s="194"/>
      <c r="N701" s="194"/>
      <c r="O701" s="194"/>
      <c r="P701" s="194"/>
      <c r="Q701" s="194"/>
      <c r="R701" s="174"/>
      <c r="S701" s="174"/>
      <c r="T701" s="174"/>
      <c r="U701" s="174"/>
      <c r="V701" s="194"/>
      <c r="W701" s="194"/>
      <c r="X701" s="194"/>
      <c r="Y701" s="194"/>
      <c r="Z701" s="194"/>
      <c r="AA701" s="194"/>
      <c r="AB701" s="194"/>
      <c r="AC701" s="194"/>
      <c r="AD701" s="194"/>
      <c r="AE701" s="194"/>
      <c r="AF701" s="194"/>
      <c r="AG701" s="194"/>
      <c r="AH701" s="194"/>
      <c r="AI701" s="194"/>
      <c r="AJ701" s="194"/>
      <c r="AK701" s="194"/>
    </row>
    <row r="702" spans="3:37">
      <c r="C702" s="194"/>
      <c r="D702" s="194"/>
      <c r="E702" s="194"/>
      <c r="F702" s="194"/>
      <c r="G702" s="194"/>
      <c r="H702" s="194"/>
      <c r="I702" s="194"/>
      <c r="J702" s="194"/>
      <c r="K702" s="194"/>
      <c r="L702" s="194"/>
      <c r="M702" s="194"/>
      <c r="N702" s="194"/>
      <c r="O702" s="194"/>
      <c r="P702" s="194"/>
      <c r="Q702" s="194"/>
      <c r="R702" s="194"/>
      <c r="S702" s="194"/>
      <c r="T702" s="194"/>
      <c r="U702" s="194"/>
      <c r="V702" s="194"/>
      <c r="W702" s="194"/>
      <c r="X702" s="194"/>
      <c r="Y702" s="194"/>
      <c r="Z702" s="194"/>
      <c r="AA702" s="194"/>
      <c r="AB702" s="194"/>
      <c r="AC702" s="194"/>
      <c r="AD702" s="194"/>
      <c r="AE702" s="194"/>
      <c r="AF702" s="194"/>
      <c r="AG702" s="194"/>
      <c r="AH702" s="194"/>
      <c r="AI702" s="194"/>
      <c r="AJ702" s="194"/>
      <c r="AK702" s="194"/>
    </row>
    <row r="703" spans="3:37">
      <c r="C703" s="194"/>
      <c r="D703" s="194"/>
      <c r="E703" s="194"/>
      <c r="F703" s="1021" t="s">
        <v>342</v>
      </c>
      <c r="G703" s="1021"/>
      <c r="H703" s="1021"/>
      <c r="I703" s="1021"/>
      <c r="J703" s="1021" t="s">
        <v>339</v>
      </c>
      <c r="K703" s="1021"/>
      <c r="L703" s="1021"/>
      <c r="M703" s="1021"/>
      <c r="N703" s="1021" t="s">
        <v>1234</v>
      </c>
      <c r="O703" s="1021"/>
      <c r="P703" s="1021"/>
      <c r="Q703" s="1021"/>
      <c r="R703" s="1030" t="s">
        <v>343</v>
      </c>
      <c r="S703" s="1030"/>
      <c r="T703" s="1030"/>
      <c r="U703" s="1030"/>
      <c r="V703" s="1021" t="s">
        <v>1143</v>
      </c>
      <c r="W703" s="1021"/>
      <c r="X703" s="1021"/>
      <c r="Y703" s="1021"/>
      <c r="Z703" s="1021" t="s">
        <v>311</v>
      </c>
      <c r="AA703" s="1021"/>
      <c r="AB703" s="1021"/>
      <c r="AC703" s="1021"/>
      <c r="AD703" s="1021" t="s">
        <v>1213</v>
      </c>
      <c r="AE703" s="1021"/>
      <c r="AF703" s="1021"/>
      <c r="AG703" s="1021"/>
      <c r="AH703" s="1021" t="s">
        <v>1214</v>
      </c>
      <c r="AI703" s="1021"/>
      <c r="AJ703" s="1021"/>
      <c r="AK703" s="1021"/>
    </row>
    <row r="704" spans="3:37" ht="16.5">
      <c r="C704" s="195" t="s">
        <v>1129</v>
      </c>
      <c r="D704" s="195" t="s">
        <v>1215</v>
      </c>
      <c r="E704" s="195" t="s">
        <v>860</v>
      </c>
      <c r="F704" s="196" t="s">
        <v>1131</v>
      </c>
      <c r="G704" s="196" t="s">
        <v>1132</v>
      </c>
      <c r="H704" s="196" t="s">
        <v>1133</v>
      </c>
      <c r="I704" s="196" t="s">
        <v>1134</v>
      </c>
      <c r="J704" s="196" t="s">
        <v>1131</v>
      </c>
      <c r="K704" s="196" t="s">
        <v>1132</v>
      </c>
      <c r="L704" s="196" t="s">
        <v>1133</v>
      </c>
      <c r="M704" s="196" t="s">
        <v>1134</v>
      </c>
      <c r="N704" s="196" t="s">
        <v>1131</v>
      </c>
      <c r="O704" s="196" t="s">
        <v>1132</v>
      </c>
      <c r="P704" s="196" t="s">
        <v>1133</v>
      </c>
      <c r="Q704" s="196" t="s">
        <v>1134</v>
      </c>
      <c r="R704" s="175" t="s">
        <v>1131</v>
      </c>
      <c r="S704" s="175" t="s">
        <v>1132</v>
      </c>
      <c r="T704" s="175" t="s">
        <v>1133</v>
      </c>
      <c r="U704" s="175" t="s">
        <v>1134</v>
      </c>
      <c r="V704" s="196" t="s">
        <v>1131</v>
      </c>
      <c r="W704" s="196" t="s">
        <v>1132</v>
      </c>
      <c r="X704" s="196" t="s">
        <v>1133</v>
      </c>
      <c r="Y704" s="196" t="s">
        <v>1134</v>
      </c>
      <c r="Z704" s="196" t="s">
        <v>1131</v>
      </c>
      <c r="AA704" s="196" t="s">
        <v>1132</v>
      </c>
      <c r="AB704" s="196" t="s">
        <v>1133</v>
      </c>
      <c r="AC704" s="196" t="s">
        <v>1134</v>
      </c>
      <c r="AD704" s="196" t="s">
        <v>1131</v>
      </c>
      <c r="AE704" s="196" t="s">
        <v>1132</v>
      </c>
      <c r="AF704" s="196" t="s">
        <v>1133</v>
      </c>
      <c r="AG704" s="196" t="s">
        <v>1134</v>
      </c>
      <c r="AH704" s="196" t="s">
        <v>1131</v>
      </c>
      <c r="AI704" s="196" t="s">
        <v>1132</v>
      </c>
      <c r="AJ704" s="196" t="s">
        <v>1133</v>
      </c>
      <c r="AK704" s="196" t="s">
        <v>1134</v>
      </c>
    </row>
    <row r="705" spans="3:37">
      <c r="C705" s="1018" t="s">
        <v>1236</v>
      </c>
      <c r="D705" s="1018" t="s">
        <v>1237</v>
      </c>
      <c r="E705" s="196" t="s">
        <v>485</v>
      </c>
      <c r="F705" s="197">
        <v>0.14208000000000001</v>
      </c>
      <c r="G705" s="197">
        <v>0.14024</v>
      </c>
      <c r="H705" s="197">
        <v>4.3200000000000001E-6</v>
      </c>
      <c r="I705" s="197">
        <v>1.8400000000000001E-3</v>
      </c>
      <c r="J705" s="197">
        <v>0.15371000000000001</v>
      </c>
      <c r="K705" s="197">
        <v>0.15301000000000001</v>
      </c>
      <c r="L705" s="197">
        <v>3.2000000000000003E-4</v>
      </c>
      <c r="M705" s="197">
        <v>3.8000000000000002E-4</v>
      </c>
      <c r="N705" s="197">
        <v>0.1052</v>
      </c>
      <c r="O705" s="197">
        <v>0.10409</v>
      </c>
      <c r="P705" s="197">
        <v>2.1000000000000001E-4</v>
      </c>
      <c r="Q705" s="197">
        <v>8.9999999999999998E-4</v>
      </c>
      <c r="R705" s="172"/>
      <c r="S705" s="172"/>
      <c r="T705" s="172"/>
      <c r="U705" s="172"/>
      <c r="V705" s="176"/>
      <c r="W705" s="176"/>
      <c r="X705" s="176"/>
      <c r="Y705" s="176"/>
      <c r="Z705" s="206">
        <v>0.14957999999999999</v>
      </c>
      <c r="AA705" s="206">
        <v>0.14846999999999999</v>
      </c>
      <c r="AB705" s="206">
        <v>2.1000000000000001E-4</v>
      </c>
      <c r="AC705" s="206">
        <v>8.9999999999999998E-4</v>
      </c>
      <c r="AD705" s="206">
        <v>2.9350000000000001E-2</v>
      </c>
      <c r="AE705" s="206">
        <v>2.9180000000000001E-2</v>
      </c>
      <c r="AF705" s="206">
        <v>9.0000000000000006E-5</v>
      </c>
      <c r="AG705" s="206">
        <v>8.0000000000000007E-5</v>
      </c>
      <c r="AH705" s="177">
        <v>0</v>
      </c>
      <c r="AI705" s="177">
        <v>0</v>
      </c>
      <c r="AJ705" s="177">
        <v>0</v>
      </c>
      <c r="AK705" s="177">
        <v>0</v>
      </c>
    </row>
    <row r="706" spans="3:37">
      <c r="C706" s="1018"/>
      <c r="D706" s="1018"/>
      <c r="E706" s="196" t="s">
        <v>1220</v>
      </c>
      <c r="F706" s="197">
        <v>0.22868000000000002</v>
      </c>
      <c r="G706" s="197">
        <v>0.22570000000000001</v>
      </c>
      <c r="H706" s="197">
        <v>1.0000000000000001E-5</v>
      </c>
      <c r="I706" s="197">
        <v>2.97E-3</v>
      </c>
      <c r="J706" s="197">
        <v>0.24736</v>
      </c>
      <c r="K706" s="197">
        <v>0.24623999999999999</v>
      </c>
      <c r="L706" s="197">
        <v>5.1000000000000004E-4</v>
      </c>
      <c r="M706" s="197">
        <v>6.0999999999999997E-4</v>
      </c>
      <c r="N706" s="197">
        <v>0.16930000000000001</v>
      </c>
      <c r="O706" s="197">
        <v>0.16752</v>
      </c>
      <c r="P706" s="197">
        <v>3.3E-4</v>
      </c>
      <c r="Q706" s="197">
        <v>1.4499999999999999E-3</v>
      </c>
      <c r="R706" s="172"/>
      <c r="S706" s="172"/>
      <c r="T706" s="172"/>
      <c r="U706" s="172"/>
      <c r="V706" s="176"/>
      <c r="W706" s="176"/>
      <c r="X706" s="176"/>
      <c r="Y706" s="176"/>
      <c r="Z706" s="206">
        <v>0.24072000000000002</v>
      </c>
      <c r="AA706" s="206">
        <v>0.23894000000000001</v>
      </c>
      <c r="AB706" s="206">
        <v>3.3E-4</v>
      </c>
      <c r="AC706" s="206">
        <v>1.4499999999999999E-3</v>
      </c>
      <c r="AD706" s="206">
        <v>4.7230000000000001E-2</v>
      </c>
      <c r="AE706" s="206">
        <v>4.6960000000000002E-2</v>
      </c>
      <c r="AF706" s="206">
        <v>1.3999999999999999E-4</v>
      </c>
      <c r="AG706" s="206">
        <v>1.2999999999999999E-4</v>
      </c>
      <c r="AH706" s="177">
        <v>0</v>
      </c>
      <c r="AI706" s="177">
        <v>0</v>
      </c>
      <c r="AJ706" s="177">
        <v>0</v>
      </c>
      <c r="AK706" s="177">
        <v>0</v>
      </c>
    </row>
    <row r="707" spans="3:37">
      <c r="C707" s="1018"/>
      <c r="D707" s="1018" t="s">
        <v>1239</v>
      </c>
      <c r="E707" s="196" t="s">
        <v>485</v>
      </c>
      <c r="F707" s="197">
        <v>0.17061000000000001</v>
      </c>
      <c r="G707" s="197">
        <v>0.16877</v>
      </c>
      <c r="H707" s="197">
        <v>4.3200000000000001E-6</v>
      </c>
      <c r="I707" s="197">
        <v>1.8400000000000001E-3</v>
      </c>
      <c r="J707" s="197">
        <v>0.19228000000000001</v>
      </c>
      <c r="K707" s="197">
        <v>0.19158</v>
      </c>
      <c r="L707" s="197">
        <v>3.2000000000000003E-4</v>
      </c>
      <c r="M707" s="197">
        <v>3.8000000000000002E-4</v>
      </c>
      <c r="N707" s="197">
        <v>0.10895000000000001</v>
      </c>
      <c r="O707" s="197">
        <v>0.10764</v>
      </c>
      <c r="P707" s="197">
        <v>1.4999999999999999E-4</v>
      </c>
      <c r="Q707" s="197">
        <v>1.16E-3</v>
      </c>
      <c r="R707" s="288">
        <v>0.16175999999999999</v>
      </c>
      <c r="S707" s="288">
        <v>0.15972</v>
      </c>
      <c r="T707" s="288">
        <v>1.5900000000000001E-3</v>
      </c>
      <c r="U707" s="288">
        <v>4.4999999999999999E-4</v>
      </c>
      <c r="V707" s="206">
        <v>0.18065999999999999</v>
      </c>
      <c r="W707" s="206">
        <v>0.18015999999999999</v>
      </c>
      <c r="X707" s="206">
        <v>5.0000000000000002E-5</v>
      </c>
      <c r="Y707" s="206">
        <v>4.4999999999999999E-4</v>
      </c>
      <c r="Z707" s="206">
        <v>0.18071000000000001</v>
      </c>
      <c r="AA707" s="206">
        <v>0.1794</v>
      </c>
      <c r="AB707" s="206">
        <v>1.4999999999999999E-4</v>
      </c>
      <c r="AC707" s="206">
        <v>1.16E-3</v>
      </c>
      <c r="AD707" s="206">
        <v>7.0830000000000004E-2</v>
      </c>
      <c r="AE707" s="206">
        <v>7.0400000000000004E-2</v>
      </c>
      <c r="AF707" s="206">
        <v>2.1000000000000001E-4</v>
      </c>
      <c r="AG707" s="206">
        <v>2.2000000000000001E-4</v>
      </c>
      <c r="AH707" s="177">
        <v>0</v>
      </c>
      <c r="AI707" s="177">
        <v>0</v>
      </c>
      <c r="AJ707" s="177">
        <v>0</v>
      </c>
      <c r="AK707" s="177">
        <v>0</v>
      </c>
    </row>
    <row r="708" spans="3:37">
      <c r="C708" s="1018"/>
      <c r="D708" s="1018"/>
      <c r="E708" s="196" t="s">
        <v>1220</v>
      </c>
      <c r="F708" s="197">
        <v>0.27459</v>
      </c>
      <c r="G708" s="197">
        <v>0.27161000000000002</v>
      </c>
      <c r="H708" s="197">
        <v>1.0000000000000001E-5</v>
      </c>
      <c r="I708" s="197">
        <v>2.97E-3</v>
      </c>
      <c r="J708" s="197">
        <v>0.30945</v>
      </c>
      <c r="K708" s="197">
        <v>0.30832999999999999</v>
      </c>
      <c r="L708" s="197">
        <v>5.1000000000000004E-4</v>
      </c>
      <c r="M708" s="197">
        <v>6.0999999999999997E-4</v>
      </c>
      <c r="N708" s="197">
        <v>0.17534</v>
      </c>
      <c r="O708" s="197">
        <v>0.17323</v>
      </c>
      <c r="P708" s="197">
        <v>2.4000000000000001E-4</v>
      </c>
      <c r="Q708" s="197">
        <v>1.8699999999999999E-3</v>
      </c>
      <c r="R708" s="288">
        <v>0.26034000000000002</v>
      </c>
      <c r="S708" s="288">
        <v>0.25705</v>
      </c>
      <c r="T708" s="288">
        <v>2.5699999999999998E-3</v>
      </c>
      <c r="U708" s="288">
        <v>7.2000000000000005E-4</v>
      </c>
      <c r="V708" s="206">
        <v>0.29073000000000004</v>
      </c>
      <c r="W708" s="206">
        <v>0.28993000000000002</v>
      </c>
      <c r="X708" s="206">
        <v>8.0000000000000007E-5</v>
      </c>
      <c r="Y708" s="206">
        <v>7.2000000000000005E-4</v>
      </c>
      <c r="Z708" s="206">
        <v>0.29082000000000002</v>
      </c>
      <c r="AA708" s="206">
        <v>0.28871000000000002</v>
      </c>
      <c r="AB708" s="206">
        <v>2.4000000000000001E-4</v>
      </c>
      <c r="AC708" s="206">
        <v>1.8699999999999999E-3</v>
      </c>
      <c r="AD708" s="206">
        <v>0.11398999999999999</v>
      </c>
      <c r="AE708" s="206">
        <v>0.1133</v>
      </c>
      <c r="AF708" s="206">
        <v>3.4000000000000002E-4</v>
      </c>
      <c r="AG708" s="206">
        <v>3.5E-4</v>
      </c>
      <c r="AH708" s="177">
        <v>0</v>
      </c>
      <c r="AI708" s="177">
        <v>0</v>
      </c>
      <c r="AJ708" s="177">
        <v>0</v>
      </c>
      <c r="AK708" s="177">
        <v>0</v>
      </c>
    </row>
    <row r="709" spans="3:37">
      <c r="C709" s="1018"/>
      <c r="D709" s="1018" t="s">
        <v>1240</v>
      </c>
      <c r="E709" s="196" t="s">
        <v>485</v>
      </c>
      <c r="F709" s="197">
        <v>0.20946999999999999</v>
      </c>
      <c r="G709" s="197">
        <v>0.20763000000000001</v>
      </c>
      <c r="H709" s="197">
        <v>4.3200000000000001E-6</v>
      </c>
      <c r="I709" s="197">
        <v>1.8400000000000001E-3</v>
      </c>
      <c r="J709" s="197">
        <v>0.28294999999999998</v>
      </c>
      <c r="K709" s="197">
        <v>0.28225</v>
      </c>
      <c r="L709" s="197">
        <v>3.2000000000000003E-4</v>
      </c>
      <c r="M709" s="197">
        <v>3.8000000000000002E-4</v>
      </c>
      <c r="N709" s="197">
        <v>0.13177</v>
      </c>
      <c r="O709" s="197">
        <v>0.13022</v>
      </c>
      <c r="P709" s="197">
        <v>9.0000000000000006E-5</v>
      </c>
      <c r="Q709" s="197">
        <v>1.4599999999999999E-3</v>
      </c>
      <c r="R709" s="288">
        <v>0.23735000000000001</v>
      </c>
      <c r="S709" s="288">
        <v>0.23530999999999999</v>
      </c>
      <c r="T709" s="288">
        <v>1.5900000000000001E-3</v>
      </c>
      <c r="U709" s="288">
        <v>4.4999999999999999E-4</v>
      </c>
      <c r="V709" s="206">
        <v>0.26590999999999998</v>
      </c>
      <c r="W709" s="206">
        <v>0.26540999999999998</v>
      </c>
      <c r="X709" s="206">
        <v>5.0000000000000002E-5</v>
      </c>
      <c r="Y709" s="206">
        <v>4.4999999999999999E-4</v>
      </c>
      <c r="Z709" s="206">
        <v>0.22857</v>
      </c>
      <c r="AA709" s="206">
        <v>0.22702</v>
      </c>
      <c r="AB709" s="206">
        <v>9.0000000000000006E-5</v>
      </c>
      <c r="AC709" s="206">
        <v>1.4599999999999999E-3</v>
      </c>
      <c r="AD709" s="206">
        <v>7.7310000000000004E-2</v>
      </c>
      <c r="AE709" s="206">
        <v>7.6850000000000002E-2</v>
      </c>
      <c r="AF709" s="206">
        <v>2.4000000000000001E-4</v>
      </c>
      <c r="AG709" s="206">
        <v>2.2000000000000001E-4</v>
      </c>
      <c r="AH709" s="177">
        <v>0</v>
      </c>
      <c r="AI709" s="177">
        <v>0</v>
      </c>
      <c r="AJ709" s="177">
        <v>0</v>
      </c>
      <c r="AK709" s="177">
        <v>0</v>
      </c>
    </row>
    <row r="710" spans="3:37">
      <c r="C710" s="1018"/>
      <c r="D710" s="1018"/>
      <c r="E710" s="196" t="s">
        <v>1220</v>
      </c>
      <c r="F710" s="197">
        <v>0.33712999999999999</v>
      </c>
      <c r="G710" s="197">
        <v>0.33415</v>
      </c>
      <c r="H710" s="197">
        <v>1.0000000000000001E-5</v>
      </c>
      <c r="I710" s="197">
        <v>2.97E-3</v>
      </c>
      <c r="J710" s="197">
        <v>0.45535999999999999</v>
      </c>
      <c r="K710" s="197">
        <v>0.45423999999999998</v>
      </c>
      <c r="L710" s="197">
        <v>5.1000000000000004E-4</v>
      </c>
      <c r="M710" s="197">
        <v>6.0999999999999997E-4</v>
      </c>
      <c r="N710" s="197">
        <v>0.21207000000000001</v>
      </c>
      <c r="O710" s="197">
        <v>0.20957000000000001</v>
      </c>
      <c r="P710" s="197">
        <v>1.3999999999999999E-4</v>
      </c>
      <c r="Q710" s="197">
        <v>2.3600000000000001E-3</v>
      </c>
      <c r="R710" s="288">
        <v>0.38198000000000004</v>
      </c>
      <c r="S710" s="288">
        <v>0.37869000000000003</v>
      </c>
      <c r="T710" s="288">
        <v>2.5699999999999998E-3</v>
      </c>
      <c r="U710" s="288">
        <v>7.2000000000000005E-4</v>
      </c>
      <c r="V710" s="206">
        <v>0.42794000000000004</v>
      </c>
      <c r="W710" s="206">
        <v>0.42714000000000002</v>
      </c>
      <c r="X710" s="206">
        <v>8.0000000000000007E-5</v>
      </c>
      <c r="Y710" s="206">
        <v>7.2000000000000005E-4</v>
      </c>
      <c r="Z710" s="206">
        <v>0.36784999999999995</v>
      </c>
      <c r="AA710" s="206">
        <v>0.36535000000000001</v>
      </c>
      <c r="AB710" s="206">
        <v>1.3999999999999999E-4</v>
      </c>
      <c r="AC710" s="206">
        <v>2.3600000000000001E-3</v>
      </c>
      <c r="AD710" s="206">
        <v>0.12442</v>
      </c>
      <c r="AE710" s="206">
        <v>0.12368</v>
      </c>
      <c r="AF710" s="206">
        <v>3.8000000000000002E-4</v>
      </c>
      <c r="AG710" s="206">
        <v>3.6000000000000002E-4</v>
      </c>
      <c r="AH710" s="177">
        <v>0</v>
      </c>
      <c r="AI710" s="177">
        <v>0</v>
      </c>
      <c r="AJ710" s="177">
        <v>0</v>
      </c>
      <c r="AK710" s="177">
        <v>0</v>
      </c>
    </row>
    <row r="711" spans="3:37">
      <c r="C711" s="1018"/>
      <c r="D711" s="1018" t="s">
        <v>1242</v>
      </c>
      <c r="E711" s="196" t="s">
        <v>485</v>
      </c>
      <c r="F711" s="197">
        <v>0.17335999999999999</v>
      </c>
      <c r="G711" s="197">
        <v>0.17152000000000001</v>
      </c>
      <c r="H711" s="197">
        <v>4.3200000000000001E-6</v>
      </c>
      <c r="I711" s="197">
        <v>1.8400000000000001E-3</v>
      </c>
      <c r="J711" s="197">
        <v>0.18084</v>
      </c>
      <c r="K711" s="197">
        <v>0.18013999999999999</v>
      </c>
      <c r="L711" s="197">
        <v>3.2000000000000003E-4</v>
      </c>
      <c r="M711" s="197">
        <v>3.8000000000000002E-4</v>
      </c>
      <c r="N711" s="197">
        <v>0.11473</v>
      </c>
      <c r="O711" s="197">
        <v>0.11346000000000001</v>
      </c>
      <c r="P711" s="197">
        <v>1.6000000000000001E-4</v>
      </c>
      <c r="Q711" s="197">
        <v>1.1100000000000001E-3</v>
      </c>
      <c r="R711" s="288">
        <v>0.17802999999999999</v>
      </c>
      <c r="S711" s="288">
        <v>0.17599000000000001</v>
      </c>
      <c r="T711" s="288">
        <v>1.5900000000000001E-3</v>
      </c>
      <c r="U711" s="288">
        <v>4.4999999999999999E-4</v>
      </c>
      <c r="V711" s="206">
        <v>0.19900999999999999</v>
      </c>
      <c r="W711" s="206">
        <v>0.19850999999999999</v>
      </c>
      <c r="X711" s="206">
        <v>5.0000000000000002E-5</v>
      </c>
      <c r="Y711" s="206">
        <v>4.4999999999999999E-4</v>
      </c>
      <c r="Z711" s="206">
        <v>0.17710000000000001</v>
      </c>
      <c r="AA711" s="206">
        <v>0.17582999999999999</v>
      </c>
      <c r="AB711" s="206">
        <v>1.6000000000000001E-4</v>
      </c>
      <c r="AC711" s="206">
        <v>1.1100000000000001E-3</v>
      </c>
      <c r="AD711" s="206">
        <v>7.0750000000000007E-2</v>
      </c>
      <c r="AE711" s="206">
        <v>7.0330000000000004E-2</v>
      </c>
      <c r="AF711" s="206">
        <v>2.1000000000000001E-4</v>
      </c>
      <c r="AG711" s="206">
        <v>2.1000000000000001E-4</v>
      </c>
      <c r="AH711" s="177">
        <v>0</v>
      </c>
      <c r="AI711" s="177">
        <v>0</v>
      </c>
      <c r="AJ711" s="177">
        <v>0</v>
      </c>
      <c r="AK711" s="177">
        <v>0</v>
      </c>
    </row>
    <row r="712" spans="3:37">
      <c r="C712" s="1018"/>
      <c r="D712" s="1018"/>
      <c r="E712" s="196" t="s">
        <v>1220</v>
      </c>
      <c r="F712" s="197">
        <v>0.27900999999999998</v>
      </c>
      <c r="G712" s="197">
        <v>0.27603</v>
      </c>
      <c r="H712" s="197">
        <v>1.0000000000000001E-5</v>
      </c>
      <c r="I712" s="197">
        <v>2.97E-3</v>
      </c>
      <c r="J712" s="197">
        <v>0.29103000000000001</v>
      </c>
      <c r="K712" s="197">
        <v>0.28991</v>
      </c>
      <c r="L712" s="197">
        <v>5.1000000000000004E-4</v>
      </c>
      <c r="M712" s="197">
        <v>6.0999999999999997E-4</v>
      </c>
      <c r="N712" s="197">
        <v>0.18464000000000003</v>
      </c>
      <c r="O712" s="197">
        <v>0.18259</v>
      </c>
      <c r="P712" s="197">
        <v>2.5999999999999998E-4</v>
      </c>
      <c r="Q712" s="197">
        <v>1.7899999999999999E-3</v>
      </c>
      <c r="R712" s="288">
        <v>0.28653000000000001</v>
      </c>
      <c r="S712" s="288">
        <v>0.28323999999999999</v>
      </c>
      <c r="T712" s="288">
        <v>2.5699999999999998E-3</v>
      </c>
      <c r="U712" s="288">
        <v>7.2000000000000005E-4</v>
      </c>
      <c r="V712" s="206">
        <v>0.32027</v>
      </c>
      <c r="W712" s="206">
        <v>0.31946999999999998</v>
      </c>
      <c r="X712" s="206">
        <v>8.0000000000000007E-5</v>
      </c>
      <c r="Y712" s="206">
        <v>7.2000000000000005E-4</v>
      </c>
      <c r="Z712" s="206">
        <v>0.28502</v>
      </c>
      <c r="AA712" s="206">
        <v>0.28297</v>
      </c>
      <c r="AB712" s="206">
        <v>2.5999999999999998E-4</v>
      </c>
      <c r="AC712" s="206">
        <v>1.7899999999999999E-3</v>
      </c>
      <c r="AD712" s="206">
        <v>0.11386000000000002</v>
      </c>
      <c r="AE712" s="206">
        <v>0.11318</v>
      </c>
      <c r="AF712" s="206">
        <v>3.4000000000000002E-4</v>
      </c>
      <c r="AG712" s="206">
        <v>3.4000000000000002E-4</v>
      </c>
      <c r="AH712" s="177">
        <v>0</v>
      </c>
      <c r="AI712" s="177">
        <v>0</v>
      </c>
      <c r="AJ712" s="177">
        <v>0</v>
      </c>
      <c r="AK712" s="177">
        <v>0</v>
      </c>
    </row>
    <row r="713" spans="3:37">
      <c r="C713" s="194"/>
      <c r="D713" s="194"/>
      <c r="E713" s="194"/>
      <c r="F713" s="194"/>
      <c r="G713" s="194"/>
      <c r="H713" s="194"/>
      <c r="I713" s="194"/>
      <c r="J713" s="194"/>
      <c r="K713" s="194"/>
      <c r="L713" s="194"/>
      <c r="M713" s="194"/>
      <c r="N713" s="194"/>
      <c r="O713" s="194"/>
      <c r="P713" s="194"/>
      <c r="Q713" s="194"/>
      <c r="R713" s="194"/>
      <c r="S713" s="194"/>
      <c r="T713" s="194"/>
      <c r="U713" s="194"/>
      <c r="V713" s="194"/>
      <c r="W713" s="194"/>
      <c r="X713" s="194"/>
      <c r="Y713" s="194"/>
      <c r="Z713" s="194"/>
      <c r="AA713" s="194"/>
      <c r="AB713" s="194"/>
      <c r="AC713" s="194"/>
      <c r="AD713" s="194"/>
      <c r="AE713" s="194"/>
      <c r="AF713" s="194"/>
      <c r="AG713" s="194"/>
      <c r="AH713" s="194"/>
      <c r="AI713" s="194"/>
      <c r="AJ713" s="194"/>
      <c r="AK713" s="194"/>
    </row>
    <row r="714" spans="3:37">
      <c r="C714" s="194"/>
      <c r="D714" s="194"/>
      <c r="E714" s="194"/>
      <c r="F714" s="194"/>
      <c r="G714" s="194"/>
      <c r="H714" s="194"/>
      <c r="I714" s="194"/>
      <c r="J714" s="194"/>
      <c r="K714" s="194"/>
      <c r="L714" s="194"/>
      <c r="M714" s="194"/>
      <c r="N714" s="194"/>
      <c r="O714" s="194"/>
      <c r="P714" s="194"/>
      <c r="Q714" s="194"/>
      <c r="R714" s="194"/>
      <c r="S714" s="194"/>
      <c r="T714" s="194"/>
      <c r="U714" s="194"/>
      <c r="V714" s="194"/>
      <c r="W714" s="194"/>
      <c r="X714" s="194"/>
      <c r="Y714" s="194"/>
      <c r="Z714" s="194"/>
      <c r="AA714" s="194"/>
      <c r="AB714" s="194"/>
      <c r="AC714" s="194"/>
      <c r="AD714" s="194"/>
      <c r="AE714" s="194"/>
      <c r="AF714" s="194"/>
      <c r="AG714" s="194"/>
      <c r="AH714" s="194"/>
      <c r="AI714" s="194"/>
      <c r="AJ714" s="194"/>
      <c r="AK714" s="194"/>
    </row>
    <row r="715" spans="3:37">
      <c r="C715" s="194"/>
      <c r="D715" s="194"/>
      <c r="E715" s="194"/>
      <c r="F715" s="194"/>
      <c r="G715" s="194"/>
      <c r="H715" s="194"/>
      <c r="I715" s="194"/>
      <c r="J715" s="194"/>
      <c r="K715" s="194"/>
      <c r="L715" s="194"/>
      <c r="M715" s="194"/>
      <c r="N715" s="194"/>
      <c r="O715" s="194"/>
      <c r="P715" s="194"/>
      <c r="Q715" s="194"/>
      <c r="R715" s="194"/>
      <c r="S715" s="194"/>
      <c r="T715" s="194"/>
      <c r="U715" s="194"/>
      <c r="V715" s="194"/>
      <c r="W715" s="194"/>
      <c r="X715" s="194"/>
      <c r="Y715" s="194"/>
      <c r="Z715" s="194"/>
      <c r="AA715" s="194"/>
      <c r="AB715" s="194"/>
      <c r="AC715" s="194"/>
      <c r="AD715" s="194"/>
      <c r="AE715" s="194"/>
      <c r="AF715" s="194"/>
      <c r="AG715" s="194"/>
      <c r="AH715" s="194"/>
      <c r="AI715" s="194"/>
      <c r="AJ715" s="194"/>
      <c r="AK715" s="194"/>
    </row>
    <row r="716" spans="3:37" ht="16.5">
      <c r="C716" s="195" t="s">
        <v>1129</v>
      </c>
      <c r="D716" s="195" t="s">
        <v>1215</v>
      </c>
      <c r="E716" s="195" t="s">
        <v>860</v>
      </c>
      <c r="F716" s="196" t="s">
        <v>1131</v>
      </c>
      <c r="G716" s="196" t="s">
        <v>1132</v>
      </c>
      <c r="H716" s="196" t="s">
        <v>1133</v>
      </c>
      <c r="I716" s="196" t="s">
        <v>1134</v>
      </c>
      <c r="J716" s="194"/>
      <c r="K716" s="194"/>
      <c r="L716" s="194"/>
      <c r="M716" s="194"/>
      <c r="N716" s="194"/>
      <c r="O716" s="194"/>
      <c r="P716" s="194"/>
      <c r="Q716" s="194"/>
      <c r="R716" s="194"/>
      <c r="S716" s="194"/>
      <c r="T716" s="194"/>
      <c r="U716" s="194"/>
      <c r="V716" s="194"/>
      <c r="W716" s="194"/>
      <c r="X716" s="194"/>
      <c r="Y716" s="194"/>
      <c r="Z716" s="194"/>
      <c r="AA716" s="194"/>
      <c r="AB716" s="194"/>
      <c r="AC716" s="194"/>
      <c r="AD716" s="194"/>
      <c r="AE716" s="194"/>
      <c r="AF716" s="194"/>
      <c r="AG716" s="194"/>
      <c r="AH716" s="194"/>
      <c r="AI716" s="194"/>
      <c r="AJ716" s="194"/>
      <c r="AK716" s="194"/>
    </row>
    <row r="717" spans="3:37">
      <c r="C717" s="1018" t="s">
        <v>623</v>
      </c>
      <c r="D717" s="1018" t="s">
        <v>340</v>
      </c>
      <c r="E717" s="196" t="s">
        <v>485</v>
      </c>
      <c r="F717" s="197">
        <v>8.4449999999999997E-2</v>
      </c>
      <c r="G717" s="197">
        <v>8.2409999999999997E-2</v>
      </c>
      <c r="H717" s="197">
        <v>1.74E-3</v>
      </c>
      <c r="I717" s="197">
        <v>2.9999999999999997E-4</v>
      </c>
      <c r="J717" s="194"/>
      <c r="K717" s="194"/>
      <c r="L717" s="194"/>
      <c r="M717" s="194"/>
      <c r="N717" s="194"/>
      <c r="O717" s="194"/>
      <c r="P717" s="194"/>
      <c r="Q717" s="194"/>
      <c r="R717" s="194"/>
      <c r="S717" s="194"/>
      <c r="T717" s="194"/>
      <c r="U717" s="194"/>
      <c r="V717" s="194"/>
      <c r="W717" s="194"/>
      <c r="X717" s="194"/>
      <c r="Y717" s="194"/>
      <c r="Z717" s="194"/>
      <c r="AA717" s="194"/>
      <c r="AB717" s="194"/>
      <c r="AC717" s="194"/>
      <c r="AD717" s="194"/>
      <c r="AE717" s="194"/>
      <c r="AF717" s="194"/>
      <c r="AG717" s="194"/>
      <c r="AH717" s="194"/>
      <c r="AI717" s="194"/>
      <c r="AJ717" s="194"/>
      <c r="AK717" s="194"/>
    </row>
    <row r="718" spans="3:37">
      <c r="C718" s="1018"/>
      <c r="D718" s="1018"/>
      <c r="E718" s="196" t="s">
        <v>1220</v>
      </c>
      <c r="F718" s="197">
        <v>0.13591</v>
      </c>
      <c r="G718" s="197">
        <v>0.13263</v>
      </c>
      <c r="H718" s="197">
        <v>2.8E-3</v>
      </c>
      <c r="I718" s="197">
        <v>4.8000000000000001E-4</v>
      </c>
      <c r="J718" s="194"/>
      <c r="K718" s="194"/>
      <c r="L718" s="194"/>
      <c r="M718" s="194"/>
      <c r="N718" s="194"/>
      <c r="O718" s="194"/>
      <c r="P718" s="194"/>
      <c r="Q718" s="194"/>
      <c r="R718" s="194"/>
      <c r="S718" s="194"/>
      <c r="T718" s="194"/>
      <c r="U718" s="194"/>
      <c r="V718" s="194"/>
      <c r="W718" s="194"/>
      <c r="X718" s="194"/>
      <c r="Y718" s="194"/>
      <c r="Z718" s="194"/>
      <c r="AA718" s="194"/>
      <c r="AB718" s="194"/>
      <c r="AC718" s="194"/>
      <c r="AD718" s="194"/>
      <c r="AE718" s="194"/>
      <c r="AF718" s="194"/>
      <c r="AG718" s="194"/>
      <c r="AH718" s="194"/>
      <c r="AI718" s="194"/>
      <c r="AJ718" s="194"/>
      <c r="AK718" s="194"/>
    </row>
    <row r="719" spans="3:37">
      <c r="C719" s="1018"/>
      <c r="D719" s="1018" t="s">
        <v>341</v>
      </c>
      <c r="E719" s="196" t="s">
        <v>485</v>
      </c>
      <c r="F719" s="197">
        <v>0.10289000000000001</v>
      </c>
      <c r="G719" s="197">
        <v>0.10004</v>
      </c>
      <c r="H719" s="197">
        <v>2.2499999999999998E-3</v>
      </c>
      <c r="I719" s="197">
        <v>5.9999999999999995E-4</v>
      </c>
      <c r="J719" s="194"/>
      <c r="K719" s="194"/>
      <c r="L719" s="194"/>
      <c r="M719" s="194"/>
      <c r="N719" s="194"/>
      <c r="O719" s="194"/>
      <c r="P719" s="194"/>
      <c r="Q719" s="194"/>
      <c r="R719" s="194"/>
      <c r="S719" s="194"/>
      <c r="T719" s="194"/>
      <c r="U719" s="194"/>
      <c r="V719" s="194"/>
      <c r="W719" s="194"/>
      <c r="X719" s="194"/>
      <c r="Y719" s="194"/>
      <c r="Z719" s="194"/>
      <c r="AA719" s="194"/>
      <c r="AB719" s="194"/>
      <c r="AC719" s="194"/>
      <c r="AD719" s="194"/>
      <c r="AE719" s="194"/>
      <c r="AF719" s="194"/>
      <c r="AG719" s="194"/>
      <c r="AH719" s="194"/>
      <c r="AI719" s="194"/>
      <c r="AJ719" s="194"/>
      <c r="AK719" s="194"/>
    </row>
    <row r="720" spans="3:37">
      <c r="C720" s="1018"/>
      <c r="D720" s="1018"/>
      <c r="E720" s="196" t="s">
        <v>1220</v>
      </c>
      <c r="F720" s="197">
        <v>0.16559000000000001</v>
      </c>
      <c r="G720" s="179">
        <v>0.161</v>
      </c>
      <c r="H720" s="197">
        <v>3.62E-3</v>
      </c>
      <c r="I720" s="197">
        <v>9.7000000000000005E-4</v>
      </c>
      <c r="J720" s="194"/>
      <c r="K720" s="194"/>
      <c r="L720" s="194"/>
      <c r="M720" s="194"/>
      <c r="N720" s="194"/>
      <c r="O720" s="194"/>
      <c r="P720" s="194"/>
      <c r="Q720" s="194"/>
      <c r="R720" s="194"/>
      <c r="S720" s="194"/>
      <c r="T720" s="194"/>
      <c r="U720" s="194"/>
      <c r="V720" s="194"/>
      <c r="W720" s="194"/>
      <c r="X720" s="194"/>
      <c r="Y720" s="194"/>
      <c r="Z720" s="194"/>
      <c r="AA720" s="194"/>
      <c r="AB720" s="194"/>
      <c r="AC720" s="194"/>
      <c r="AD720" s="194"/>
      <c r="AE720" s="194"/>
      <c r="AF720" s="194"/>
      <c r="AG720" s="194"/>
      <c r="AH720" s="194"/>
      <c r="AI720" s="194"/>
      <c r="AJ720" s="194"/>
      <c r="AK720" s="194"/>
    </row>
    <row r="721" spans="3:37">
      <c r="C721" s="1018"/>
      <c r="D721" s="1018" t="s">
        <v>1245</v>
      </c>
      <c r="E721" s="196" t="s">
        <v>485</v>
      </c>
      <c r="F721" s="197">
        <v>0.13500999999999999</v>
      </c>
      <c r="G721" s="197">
        <v>0.13308</v>
      </c>
      <c r="H721" s="197">
        <v>1.33E-3</v>
      </c>
      <c r="I721" s="197">
        <v>5.9999999999999995E-4</v>
      </c>
      <c r="J721" s="194"/>
      <c r="K721" s="194"/>
      <c r="L721" s="194"/>
      <c r="M721" s="194"/>
      <c r="N721" s="194"/>
      <c r="O721" s="194"/>
      <c r="P721" s="194"/>
      <c r="Q721" s="194"/>
      <c r="R721" s="194"/>
      <c r="S721" s="194"/>
      <c r="T721" s="194"/>
      <c r="U721" s="194"/>
      <c r="V721" s="194"/>
      <c r="W721" s="194"/>
      <c r="X721" s="194"/>
      <c r="Y721" s="194"/>
      <c r="Z721" s="194"/>
      <c r="AA721" s="194"/>
      <c r="AB721" s="194"/>
      <c r="AC721" s="194"/>
      <c r="AD721" s="194"/>
      <c r="AE721" s="194"/>
      <c r="AF721" s="194"/>
      <c r="AG721" s="194"/>
      <c r="AH721" s="194"/>
      <c r="AI721" s="194"/>
      <c r="AJ721" s="194"/>
      <c r="AK721" s="194"/>
    </row>
    <row r="722" spans="3:37">
      <c r="C722" s="1018"/>
      <c r="D722" s="1018"/>
      <c r="E722" s="196" t="s">
        <v>1220</v>
      </c>
      <c r="F722" s="197">
        <v>0.21729000000000001</v>
      </c>
      <c r="G722" s="197">
        <v>0.21418000000000001</v>
      </c>
      <c r="H722" s="197">
        <v>2.14E-3</v>
      </c>
      <c r="I722" s="197">
        <v>9.7000000000000005E-4</v>
      </c>
      <c r="J722" s="194"/>
      <c r="K722" s="194"/>
      <c r="L722" s="194"/>
      <c r="M722" s="194"/>
      <c r="N722" s="194"/>
      <c r="O722" s="194"/>
      <c r="P722" s="194"/>
      <c r="Q722" s="194"/>
      <c r="R722" s="194"/>
      <c r="S722" s="194"/>
      <c r="T722" s="194"/>
      <c r="U722" s="194"/>
      <c r="V722" s="194"/>
      <c r="W722" s="194"/>
      <c r="X722" s="194"/>
      <c r="Y722" s="194"/>
      <c r="Z722" s="194"/>
      <c r="AA722" s="194"/>
      <c r="AB722" s="194"/>
      <c r="AC722" s="194"/>
      <c r="AD722" s="194"/>
      <c r="AE722" s="194"/>
      <c r="AF722" s="194"/>
      <c r="AG722" s="194"/>
      <c r="AH722" s="194"/>
      <c r="AI722" s="194"/>
      <c r="AJ722" s="194"/>
      <c r="AK722" s="194"/>
    </row>
    <row r="723" spans="3:37">
      <c r="C723" s="1018"/>
      <c r="D723" s="1018" t="s">
        <v>1247</v>
      </c>
      <c r="E723" s="196" t="s">
        <v>485</v>
      </c>
      <c r="F723" s="197">
        <v>0.11551</v>
      </c>
      <c r="G723" s="197">
        <v>0.11314</v>
      </c>
      <c r="H723" s="197">
        <v>1.7799999999999999E-3</v>
      </c>
      <c r="I723" s="197">
        <v>5.9000000000000003E-4</v>
      </c>
      <c r="J723" s="194"/>
      <c r="K723" s="194"/>
      <c r="L723" s="194"/>
      <c r="M723" s="194"/>
      <c r="N723" s="194"/>
      <c r="O723" s="194"/>
      <c r="P723" s="194"/>
      <c r="Q723" s="194"/>
      <c r="R723" s="194"/>
      <c r="S723" s="194"/>
      <c r="T723" s="194"/>
      <c r="U723" s="194"/>
      <c r="V723" s="194"/>
      <c r="W723" s="194"/>
      <c r="X723" s="194"/>
      <c r="Y723" s="194"/>
      <c r="Z723" s="194"/>
      <c r="AA723" s="194"/>
      <c r="AB723" s="194"/>
      <c r="AC723" s="194"/>
      <c r="AD723" s="194"/>
      <c r="AE723" s="194"/>
      <c r="AF723" s="194"/>
      <c r="AG723" s="194"/>
      <c r="AH723" s="194"/>
      <c r="AI723" s="194"/>
      <c r="AJ723" s="194"/>
      <c r="AK723" s="194"/>
    </row>
    <row r="724" spans="3:37">
      <c r="C724" s="1018"/>
      <c r="D724" s="1018"/>
      <c r="E724" s="196" t="s">
        <v>1220</v>
      </c>
      <c r="F724" s="197">
        <v>0.18589</v>
      </c>
      <c r="G724" s="197">
        <v>0.18207999999999999</v>
      </c>
      <c r="H724" s="197">
        <v>2.8600000000000001E-3</v>
      </c>
      <c r="I724" s="197">
        <v>9.5E-4</v>
      </c>
      <c r="J724" s="194"/>
      <c r="K724" s="194"/>
      <c r="L724" s="194"/>
      <c r="M724" s="194"/>
      <c r="N724" s="194"/>
      <c r="O724" s="194"/>
      <c r="P724" s="194"/>
      <c r="Q724" s="194"/>
      <c r="R724" s="194"/>
      <c r="S724" s="194"/>
      <c r="T724" s="194"/>
      <c r="U724" s="194"/>
      <c r="V724" s="194"/>
      <c r="W724" s="194"/>
      <c r="X724" s="194"/>
      <c r="Y724" s="194"/>
      <c r="Z724" s="194"/>
      <c r="AA724" s="194"/>
      <c r="AB724" s="194"/>
      <c r="AC724" s="194"/>
      <c r="AD724" s="194"/>
      <c r="AE724" s="194"/>
      <c r="AF724" s="194"/>
      <c r="AG724" s="194"/>
      <c r="AH724" s="194"/>
      <c r="AI724" s="194"/>
      <c r="AJ724" s="194"/>
      <c r="AK724" s="194"/>
    </row>
    <row r="727" spans="3:37">
      <c r="C727" s="180"/>
      <c r="D727" s="180"/>
      <c r="E727" s="180"/>
      <c r="F727" s="180"/>
      <c r="G727" s="1031" t="s">
        <v>1249</v>
      </c>
      <c r="H727" s="1032"/>
      <c r="I727" s="1032"/>
      <c r="J727" s="1033"/>
      <c r="K727" s="1034" t="s">
        <v>1250</v>
      </c>
      <c r="L727" s="1032"/>
      <c r="M727" s="1032"/>
      <c r="N727" s="1035"/>
    </row>
    <row r="728" spans="3:37" ht="16.5">
      <c r="C728" s="183" t="s">
        <v>1129</v>
      </c>
      <c r="D728" s="184" t="s">
        <v>1252</v>
      </c>
      <c r="E728" s="184" t="s">
        <v>1253</v>
      </c>
      <c r="F728" s="187" t="s">
        <v>860</v>
      </c>
      <c r="G728" s="190" t="s">
        <v>1131</v>
      </c>
      <c r="H728" s="181" t="s">
        <v>1132</v>
      </c>
      <c r="I728" s="181" t="s">
        <v>1133</v>
      </c>
      <c r="J728" s="192" t="s">
        <v>1134</v>
      </c>
      <c r="K728" s="182" t="s">
        <v>1131</v>
      </c>
      <c r="L728" s="181" t="s">
        <v>1132</v>
      </c>
      <c r="M728" s="181" t="s">
        <v>1133</v>
      </c>
      <c r="N728" s="185" t="s">
        <v>1134</v>
      </c>
    </row>
    <row r="729" spans="3:37" ht="58">
      <c r="C729" s="1036" t="s">
        <v>1254</v>
      </c>
      <c r="D729" s="181" t="s">
        <v>1255</v>
      </c>
      <c r="E729" s="181" t="s">
        <v>1256</v>
      </c>
      <c r="F729" s="188" t="s">
        <v>1257</v>
      </c>
      <c r="G729" s="191">
        <v>0.25492999999999999</v>
      </c>
      <c r="H729" s="191">
        <v>0.25355</v>
      </c>
      <c r="I729" s="191">
        <v>1.2E-4</v>
      </c>
      <c r="J729" s="191">
        <v>1.2600000000000001E-3</v>
      </c>
      <c r="K729" s="191">
        <v>0.13483000000000003</v>
      </c>
      <c r="L729" s="191">
        <v>0.13345000000000001</v>
      </c>
      <c r="M729" s="191">
        <v>1.2E-4</v>
      </c>
      <c r="N729" s="191">
        <v>1.2600000000000001E-3</v>
      </c>
    </row>
    <row r="730" spans="3:37" ht="43.5">
      <c r="C730" s="1036"/>
      <c r="D730" s="1017" t="s">
        <v>1258</v>
      </c>
      <c r="E730" s="181" t="s">
        <v>1256</v>
      </c>
      <c r="F730" s="188" t="s">
        <v>1257</v>
      </c>
      <c r="G730" s="191">
        <v>0.15832000000000002</v>
      </c>
      <c r="H730" s="191">
        <v>0.15753</v>
      </c>
      <c r="I730" s="191">
        <v>1.0000000000000001E-5</v>
      </c>
      <c r="J730" s="191">
        <v>7.7999999999999999E-4</v>
      </c>
      <c r="K730" s="191">
        <v>8.3699999999999997E-2</v>
      </c>
      <c r="L730" s="191">
        <v>8.2909999999999998E-2</v>
      </c>
      <c r="M730" s="191">
        <v>1.0000000000000001E-5</v>
      </c>
      <c r="N730" s="191">
        <v>7.7999999999999999E-4</v>
      </c>
    </row>
    <row r="731" spans="3:37" ht="29">
      <c r="C731" s="1036"/>
      <c r="D731" s="1017"/>
      <c r="E731" s="181" t="s">
        <v>1259</v>
      </c>
      <c r="F731" s="188" t="s">
        <v>1257</v>
      </c>
      <c r="G731" s="191">
        <v>0.15573000000000001</v>
      </c>
      <c r="H731" s="191">
        <v>0.15495</v>
      </c>
      <c r="I731" s="191">
        <v>1.0000000000000001E-5</v>
      </c>
      <c r="J731" s="191">
        <v>7.6999999999999996E-4</v>
      </c>
      <c r="K731" s="191">
        <v>8.233E-2</v>
      </c>
      <c r="L731" s="191">
        <v>8.1549999999999997E-2</v>
      </c>
      <c r="M731" s="191">
        <v>1.0000000000000001E-5</v>
      </c>
      <c r="N731" s="191">
        <v>7.6999999999999996E-4</v>
      </c>
    </row>
    <row r="732" spans="3:37" ht="29">
      <c r="C732" s="1036"/>
      <c r="D732" s="1017"/>
      <c r="E732" s="181" t="s">
        <v>1260</v>
      </c>
      <c r="F732" s="188" t="s">
        <v>1257</v>
      </c>
      <c r="G732" s="191">
        <v>0.2336</v>
      </c>
      <c r="H732" s="191">
        <v>0.23243</v>
      </c>
      <c r="I732" s="191">
        <v>1.0000000000000001E-5</v>
      </c>
      <c r="J732" s="191">
        <v>1.16E-3</v>
      </c>
      <c r="K732" s="191">
        <v>0.12349999999999998</v>
      </c>
      <c r="L732" s="191">
        <v>0.12232999999999999</v>
      </c>
      <c r="M732" s="191">
        <v>1.0000000000000001E-5</v>
      </c>
      <c r="N732" s="191">
        <v>1.16E-3</v>
      </c>
    </row>
    <row r="733" spans="3:37" ht="43.5">
      <c r="C733" s="1036"/>
      <c r="D733" s="1017" t="s">
        <v>1261</v>
      </c>
      <c r="E733" s="181" t="s">
        <v>1256</v>
      </c>
      <c r="F733" s="188" t="s">
        <v>1257</v>
      </c>
      <c r="G733" s="191">
        <v>0.19562000000000002</v>
      </c>
      <c r="H733" s="193">
        <v>0.19464000000000001</v>
      </c>
      <c r="I733" s="191">
        <v>1.0000000000000001E-5</v>
      </c>
      <c r="J733" s="191">
        <v>9.7000000000000005E-4</v>
      </c>
      <c r="K733" s="191">
        <v>0.10342</v>
      </c>
      <c r="L733" s="191">
        <v>0.10244</v>
      </c>
      <c r="M733" s="191">
        <v>1.0000000000000001E-5</v>
      </c>
      <c r="N733" s="191">
        <v>9.7000000000000005E-4</v>
      </c>
    </row>
    <row r="734" spans="3:37" ht="29">
      <c r="C734" s="1036"/>
      <c r="D734" s="1017"/>
      <c r="E734" s="181" t="s">
        <v>1259</v>
      </c>
      <c r="F734" s="188" t="s">
        <v>1257</v>
      </c>
      <c r="G734" s="191">
        <v>0.14981</v>
      </c>
      <c r="H734" s="191">
        <v>0.14906</v>
      </c>
      <c r="I734" s="191">
        <v>1.0000000000000001E-5</v>
      </c>
      <c r="J734" s="191">
        <v>7.3999999999999999E-4</v>
      </c>
      <c r="K734" s="191">
        <v>7.9200000000000007E-2</v>
      </c>
      <c r="L734" s="191">
        <v>7.8450000000000006E-2</v>
      </c>
      <c r="M734" s="191">
        <v>1.0000000000000001E-5</v>
      </c>
      <c r="N734" s="191">
        <v>7.3999999999999999E-4</v>
      </c>
    </row>
    <row r="735" spans="3:37" ht="58">
      <c r="C735" s="1036"/>
      <c r="D735" s="1017"/>
      <c r="E735" s="181" t="s">
        <v>1264</v>
      </c>
      <c r="F735" s="188" t="s">
        <v>1257</v>
      </c>
      <c r="G735" s="191">
        <v>0.2397</v>
      </c>
      <c r="H735" s="191">
        <v>0.23849999999999999</v>
      </c>
      <c r="I735" s="191">
        <v>1.0000000000000001E-5</v>
      </c>
      <c r="J735" s="191">
        <v>1.1900000000000001E-3</v>
      </c>
      <c r="K735" s="191">
        <v>0.12673000000000001</v>
      </c>
      <c r="L735" s="191">
        <v>0.12553</v>
      </c>
      <c r="M735" s="191">
        <v>1.0000000000000001E-5</v>
      </c>
      <c r="N735" s="191">
        <v>1.1900000000000001E-3</v>
      </c>
    </row>
    <row r="736" spans="3:37" ht="29">
      <c r="C736" s="1036"/>
      <c r="D736" s="1017"/>
      <c r="E736" s="181" t="s">
        <v>1260</v>
      </c>
      <c r="F736" s="188" t="s">
        <v>1257</v>
      </c>
      <c r="G736" s="191">
        <v>0.43446000000000001</v>
      </c>
      <c r="H736" s="191">
        <v>0.43229000000000001</v>
      </c>
      <c r="I736" s="191">
        <v>2.0000000000000002E-5</v>
      </c>
      <c r="J736" s="191">
        <v>2.15E-3</v>
      </c>
      <c r="K736" s="191">
        <v>0.22969000000000001</v>
      </c>
      <c r="L736" s="191">
        <v>0.22752</v>
      </c>
      <c r="M736" s="191">
        <v>2.0000000000000002E-5</v>
      </c>
      <c r="N736" s="191">
        <v>2.15E-3</v>
      </c>
    </row>
    <row r="737" spans="3:37" ht="29">
      <c r="C737" s="1036"/>
      <c r="D737" s="1017"/>
      <c r="E737" s="181" t="s">
        <v>1266</v>
      </c>
      <c r="F737" s="188" t="s">
        <v>1257</v>
      </c>
      <c r="G737" s="191">
        <v>0.59925000000000006</v>
      </c>
      <c r="H737" s="191">
        <v>0.59626000000000001</v>
      </c>
      <c r="I737" s="191">
        <v>2.0000000000000002E-5</v>
      </c>
      <c r="J737" s="191">
        <v>2.97E-3</v>
      </c>
      <c r="K737" s="191">
        <v>0.31680999999999998</v>
      </c>
      <c r="L737" s="191">
        <v>0.31381999999999999</v>
      </c>
      <c r="M737" s="191">
        <v>2.0000000000000002E-5</v>
      </c>
      <c r="N737" s="191">
        <v>2.97E-3</v>
      </c>
    </row>
    <row r="738" spans="3:37" ht="43.5">
      <c r="C738" s="1036"/>
      <c r="D738" s="1017" t="s">
        <v>1267</v>
      </c>
      <c r="E738" s="181" t="s">
        <v>1256</v>
      </c>
      <c r="F738" s="188" t="s">
        <v>1257</v>
      </c>
      <c r="G738" s="191">
        <v>0.18078000000000002</v>
      </c>
      <c r="H738" s="191">
        <v>0.17987</v>
      </c>
      <c r="I738" s="191">
        <v>1.0000000000000001E-5</v>
      </c>
      <c r="J738" s="191">
        <v>8.9999999999999998E-4</v>
      </c>
      <c r="K738" s="191">
        <v>9.5579999999999998E-2</v>
      </c>
      <c r="L738" s="191">
        <v>9.4670000000000004E-2</v>
      </c>
      <c r="M738" s="191">
        <v>1.0000000000000001E-5</v>
      </c>
      <c r="N738" s="191">
        <v>8.9999999999999998E-4</v>
      </c>
    </row>
    <row r="739" spans="3:37" ht="29">
      <c r="C739" s="1036"/>
      <c r="D739" s="1017"/>
      <c r="E739" s="181" t="s">
        <v>1259</v>
      </c>
      <c r="F739" s="188" t="s">
        <v>1257</v>
      </c>
      <c r="G739" s="191">
        <v>0.13844530000000002</v>
      </c>
      <c r="H739" s="191">
        <v>0.13775000000000001</v>
      </c>
      <c r="I739" s="191">
        <v>5.3000000000000001E-6</v>
      </c>
      <c r="J739" s="191">
        <v>6.8999999999999997E-4</v>
      </c>
      <c r="K739" s="191">
        <v>7.3195299999999991E-2</v>
      </c>
      <c r="L739" s="191">
        <v>7.2499999999999995E-2</v>
      </c>
      <c r="M739" s="191">
        <v>5.3000000000000001E-6</v>
      </c>
      <c r="N739" s="191">
        <v>6.8999999999999997E-4</v>
      </c>
    </row>
    <row r="740" spans="3:37" ht="58">
      <c r="C740" s="1036"/>
      <c r="D740" s="1017"/>
      <c r="E740" s="181" t="s">
        <v>1264</v>
      </c>
      <c r="F740" s="188" t="s">
        <v>1257</v>
      </c>
      <c r="G740" s="191">
        <v>0.22151000000000001</v>
      </c>
      <c r="H740" s="191">
        <v>0.22040000000000001</v>
      </c>
      <c r="I740" s="191">
        <v>1.0000000000000001E-5</v>
      </c>
      <c r="J740" s="191">
        <v>1.1000000000000001E-3</v>
      </c>
      <c r="K740" s="191">
        <v>0.11711000000000001</v>
      </c>
      <c r="L740" s="191">
        <v>0.11600000000000001</v>
      </c>
      <c r="M740" s="191">
        <v>1.0000000000000001E-5</v>
      </c>
      <c r="N740" s="191">
        <v>1.1000000000000001E-3</v>
      </c>
    </row>
    <row r="741" spans="3:37" ht="29">
      <c r="C741" s="1036"/>
      <c r="D741" s="1017"/>
      <c r="E741" s="181" t="s">
        <v>1260</v>
      </c>
      <c r="F741" s="188" t="s">
        <v>1257</v>
      </c>
      <c r="G741" s="191">
        <v>0.40149000000000001</v>
      </c>
      <c r="H741" s="191">
        <v>0.39948</v>
      </c>
      <c r="I741" s="191">
        <v>2.0000000000000002E-5</v>
      </c>
      <c r="J741" s="191">
        <v>1.99E-3</v>
      </c>
      <c r="K741" s="191">
        <v>0.21225999999999998</v>
      </c>
      <c r="L741" s="191">
        <v>0.21024999999999999</v>
      </c>
      <c r="M741" s="191">
        <v>2.0000000000000002E-5</v>
      </c>
      <c r="N741" s="191">
        <v>1.99E-3</v>
      </c>
    </row>
    <row r="742" spans="3:37" ht="29">
      <c r="C742" s="1037"/>
      <c r="D742" s="1038"/>
      <c r="E742" s="186" t="s">
        <v>1266</v>
      </c>
      <c r="F742" s="189" t="s">
        <v>1257</v>
      </c>
      <c r="G742" s="191">
        <v>0.55376000000000003</v>
      </c>
      <c r="H742" s="191">
        <v>0.55100000000000005</v>
      </c>
      <c r="I742" s="191">
        <v>2.0000000000000002E-5</v>
      </c>
      <c r="J742" s="191">
        <v>2.7399999999999998E-3</v>
      </c>
      <c r="K742" s="191">
        <v>0.29276000000000002</v>
      </c>
      <c r="L742" s="191">
        <v>0.28999999999999998</v>
      </c>
      <c r="M742" s="191">
        <v>2.0000000000000002E-5</v>
      </c>
      <c r="N742" s="191">
        <v>2.7399999999999998E-3</v>
      </c>
    </row>
    <row r="745" spans="3:37" ht="16.5">
      <c r="C745" s="195" t="s">
        <v>1129</v>
      </c>
      <c r="D745" s="195" t="s">
        <v>1215</v>
      </c>
      <c r="E745" s="195" t="s">
        <v>860</v>
      </c>
      <c r="F745" s="196" t="s">
        <v>1131</v>
      </c>
      <c r="G745" s="196" t="s">
        <v>1132</v>
      </c>
      <c r="H745" s="196" t="s">
        <v>1133</v>
      </c>
      <c r="I745" s="196" t="s">
        <v>1134</v>
      </c>
    </row>
    <row r="746" spans="3:37">
      <c r="C746" s="1018" t="s">
        <v>498</v>
      </c>
      <c r="D746" s="196" t="s">
        <v>1270</v>
      </c>
      <c r="E746" s="196" t="s">
        <v>1257</v>
      </c>
      <c r="F746" s="288">
        <v>1.8737999999999998E-2</v>
      </c>
      <c r="G746" s="288">
        <v>1.848E-2</v>
      </c>
      <c r="H746" s="288">
        <v>6.0000000000000002E-6</v>
      </c>
      <c r="I746" s="288">
        <v>2.52E-4</v>
      </c>
    </row>
    <row r="747" spans="3:37">
      <c r="C747" s="1018"/>
      <c r="D747" s="196" t="s">
        <v>1272</v>
      </c>
      <c r="E747" s="196" t="s">
        <v>1257</v>
      </c>
      <c r="F747" s="288">
        <v>0.12951799999999999</v>
      </c>
      <c r="G747" s="288">
        <v>0.12773899999999999</v>
      </c>
      <c r="H747" s="288">
        <v>3.8000000000000002E-5</v>
      </c>
      <c r="I747" s="288">
        <v>1.7409999999999999E-3</v>
      </c>
    </row>
    <row r="748" spans="3:37">
      <c r="C748" s="1018"/>
      <c r="D748" s="196" t="s">
        <v>1273</v>
      </c>
      <c r="E748" s="196" t="s">
        <v>1257</v>
      </c>
      <c r="F748" s="288">
        <v>0.112863</v>
      </c>
      <c r="G748" s="288">
        <v>0.111313</v>
      </c>
      <c r="H748" s="288">
        <v>3.3000000000000003E-5</v>
      </c>
      <c r="I748" s="288">
        <v>1.5169999999999999E-3</v>
      </c>
    </row>
    <row r="751" spans="3:37">
      <c r="C751" s="194"/>
      <c r="D751" s="194"/>
      <c r="E751" s="194"/>
      <c r="F751" s="1021" t="s">
        <v>342</v>
      </c>
      <c r="G751" s="1021"/>
      <c r="H751" s="1021"/>
      <c r="I751" s="1021"/>
      <c r="J751" s="1021" t="s">
        <v>339</v>
      </c>
      <c r="K751" s="1021"/>
      <c r="L751" s="1021"/>
      <c r="M751" s="1021"/>
      <c r="N751" s="1021" t="s">
        <v>311</v>
      </c>
      <c r="O751" s="1021"/>
      <c r="P751" s="1021"/>
      <c r="Q751" s="1021"/>
      <c r="R751" s="1021" t="s">
        <v>1213</v>
      </c>
      <c r="S751" s="1021"/>
      <c r="T751" s="1021"/>
      <c r="U751" s="1021"/>
      <c r="V751" s="1021" t="s">
        <v>1214</v>
      </c>
      <c r="W751" s="1021"/>
      <c r="X751" s="1021"/>
      <c r="Y751" s="1021"/>
      <c r="Z751" s="194"/>
      <c r="AA751" s="194"/>
      <c r="AB751" s="194"/>
      <c r="AC751" s="194"/>
      <c r="AD751" s="194"/>
      <c r="AE751" s="194"/>
      <c r="AF751" s="194"/>
      <c r="AG751" s="194"/>
      <c r="AH751" s="194"/>
      <c r="AI751" s="194"/>
      <c r="AJ751" s="194"/>
      <c r="AK751" s="194"/>
    </row>
    <row r="752" spans="3:37" ht="16.5">
      <c r="C752" s="195" t="s">
        <v>1129</v>
      </c>
      <c r="D752" s="195" t="s">
        <v>1215</v>
      </c>
      <c r="E752" s="195" t="s">
        <v>860</v>
      </c>
      <c r="F752" s="196" t="s">
        <v>1131</v>
      </c>
      <c r="G752" s="196" t="s">
        <v>1132</v>
      </c>
      <c r="H752" s="196" t="s">
        <v>1133</v>
      </c>
      <c r="I752" s="196" t="s">
        <v>1134</v>
      </c>
      <c r="J752" s="196" t="s">
        <v>1131</v>
      </c>
      <c r="K752" s="196" t="s">
        <v>1132</v>
      </c>
      <c r="L752" s="196" t="s">
        <v>1133</v>
      </c>
      <c r="M752" s="196" t="s">
        <v>1134</v>
      </c>
      <c r="N752" s="196" t="s">
        <v>1131</v>
      </c>
      <c r="O752" s="196" t="s">
        <v>1132</v>
      </c>
      <c r="P752" s="196" t="s">
        <v>1133</v>
      </c>
      <c r="Q752" s="196" t="s">
        <v>1134</v>
      </c>
      <c r="R752" s="196" t="s">
        <v>1131</v>
      </c>
      <c r="S752" s="196" t="s">
        <v>1132</v>
      </c>
      <c r="T752" s="196" t="s">
        <v>1133</v>
      </c>
      <c r="U752" s="196" t="s">
        <v>1134</v>
      </c>
      <c r="V752" s="196" t="s">
        <v>1131</v>
      </c>
      <c r="W752" s="196" t="s">
        <v>1132</v>
      </c>
      <c r="X752" s="196" t="s">
        <v>1133</v>
      </c>
      <c r="Y752" s="196" t="s">
        <v>1134</v>
      </c>
      <c r="Z752" s="194"/>
      <c r="AA752" s="194"/>
      <c r="AB752" s="194"/>
      <c r="AC752" s="194"/>
      <c r="AD752" s="194"/>
      <c r="AE752" s="194"/>
      <c r="AF752" s="194"/>
      <c r="AG752" s="194"/>
      <c r="AH752" s="194"/>
      <c r="AI752" s="194"/>
      <c r="AJ752" s="194"/>
      <c r="AK752" s="194"/>
    </row>
    <row r="753" spans="3:37">
      <c r="C753" s="1018" t="s">
        <v>1216</v>
      </c>
      <c r="D753" s="1018" t="s">
        <v>1217</v>
      </c>
      <c r="E753" s="196" t="s">
        <v>485</v>
      </c>
      <c r="F753" s="197">
        <v>0.11008999999999999</v>
      </c>
      <c r="G753" s="197">
        <v>0.10825</v>
      </c>
      <c r="H753" s="197">
        <v>4.3200000000000001E-6</v>
      </c>
      <c r="I753" s="197">
        <v>1.8400000000000001E-3</v>
      </c>
      <c r="J753" s="197">
        <v>0.13975000000000001</v>
      </c>
      <c r="K753" s="197">
        <v>0.13905000000000001</v>
      </c>
      <c r="L753" s="197">
        <v>3.2000000000000003E-4</v>
      </c>
      <c r="M753" s="197">
        <v>3.8000000000000002E-4</v>
      </c>
      <c r="N753" s="197">
        <v>0.13958000000000001</v>
      </c>
      <c r="O753" s="197">
        <v>0.13886999999999999</v>
      </c>
      <c r="P753" s="197">
        <v>3.2000000000000003E-4</v>
      </c>
      <c r="Q753" s="197">
        <v>3.8999999999999999E-4</v>
      </c>
      <c r="R753" s="206" t="s">
        <v>1218</v>
      </c>
      <c r="S753" s="206" t="s">
        <v>1218</v>
      </c>
      <c r="T753" s="206" t="s">
        <v>1218</v>
      </c>
      <c r="U753" s="206" t="s">
        <v>1218</v>
      </c>
      <c r="V753" s="206">
        <v>5.2350000000000001E-2</v>
      </c>
      <c r="W753" s="206">
        <v>5.194E-2</v>
      </c>
      <c r="X753" s="206">
        <v>1.2999999999999999E-4</v>
      </c>
      <c r="Y753" s="206">
        <v>2.7999999999999998E-4</v>
      </c>
      <c r="Z753" s="194"/>
      <c r="AA753" s="194"/>
      <c r="AB753" s="194"/>
      <c r="AC753" s="194"/>
      <c r="AD753" s="194"/>
      <c r="AE753" s="194"/>
      <c r="AF753" s="194"/>
      <c r="AG753" s="194"/>
      <c r="AH753" s="194"/>
      <c r="AI753" s="194"/>
      <c r="AJ753" s="194"/>
      <c r="AK753" s="194"/>
    </row>
    <row r="754" spans="3:37">
      <c r="C754" s="1018"/>
      <c r="D754" s="1018"/>
      <c r="E754" s="196" t="s">
        <v>1220</v>
      </c>
      <c r="F754" s="197">
        <v>0.17719000000000001</v>
      </c>
      <c r="G754" s="197">
        <v>0.17421</v>
      </c>
      <c r="H754" s="197">
        <v>1.0000000000000001E-5</v>
      </c>
      <c r="I754" s="197">
        <v>2.97E-3</v>
      </c>
      <c r="J754" s="197">
        <v>0.22490000000000002</v>
      </c>
      <c r="K754" s="197">
        <v>0.22378000000000001</v>
      </c>
      <c r="L754" s="197">
        <v>5.1000000000000004E-4</v>
      </c>
      <c r="M754" s="197">
        <v>6.0999999999999997E-4</v>
      </c>
      <c r="N754" s="197">
        <v>0.22463</v>
      </c>
      <c r="O754" s="197">
        <v>0.22348999999999999</v>
      </c>
      <c r="P754" s="197">
        <v>5.1000000000000004E-4</v>
      </c>
      <c r="Q754" s="197">
        <v>6.3000000000000003E-4</v>
      </c>
      <c r="R754" s="206" t="s">
        <v>1218</v>
      </c>
      <c r="S754" s="206" t="s">
        <v>1218</v>
      </c>
      <c r="T754" s="206" t="s">
        <v>1218</v>
      </c>
      <c r="U754" s="206" t="s">
        <v>1218</v>
      </c>
      <c r="V754" s="206">
        <v>8.4250000000000005E-2</v>
      </c>
      <c r="W754" s="206">
        <v>8.3589999999999998E-2</v>
      </c>
      <c r="X754" s="206">
        <v>2.1000000000000001E-4</v>
      </c>
      <c r="Y754" s="206">
        <v>4.4999999999999999E-4</v>
      </c>
      <c r="Z754" s="194"/>
      <c r="AA754" s="194"/>
      <c r="AB754" s="194"/>
      <c r="AC754" s="194"/>
      <c r="AD754" s="194"/>
      <c r="AE754" s="194"/>
      <c r="AF754" s="194"/>
      <c r="AG754" s="194"/>
      <c r="AH754" s="194"/>
      <c r="AI754" s="194"/>
      <c r="AJ754" s="194"/>
      <c r="AK754" s="194"/>
    </row>
    <row r="755" spans="3:37">
      <c r="C755" s="1018"/>
      <c r="D755" s="1018" t="s">
        <v>1221</v>
      </c>
      <c r="E755" s="196" t="s">
        <v>485</v>
      </c>
      <c r="F755" s="197">
        <v>0.13449</v>
      </c>
      <c r="G755" s="197">
        <v>0.13264999999999999</v>
      </c>
      <c r="H755" s="197">
        <v>4.3200000000000001E-6</v>
      </c>
      <c r="I755" s="197">
        <v>1.8400000000000001E-3</v>
      </c>
      <c r="J755" s="197">
        <v>0.15537999999999999</v>
      </c>
      <c r="K755" s="197">
        <v>0.15468000000000001</v>
      </c>
      <c r="L755" s="197">
        <v>3.2000000000000003E-4</v>
      </c>
      <c r="M755" s="197">
        <v>3.8000000000000002E-4</v>
      </c>
      <c r="N755" s="197">
        <v>0.15240999999999999</v>
      </c>
      <c r="O755" s="197">
        <v>0.15154999999999999</v>
      </c>
      <c r="P755" s="197">
        <v>2.7E-4</v>
      </c>
      <c r="Q755" s="197">
        <v>5.9000000000000003E-4</v>
      </c>
      <c r="R755" s="206">
        <v>7.3470000000000008E-2</v>
      </c>
      <c r="S755" s="206">
        <v>7.2950000000000001E-2</v>
      </c>
      <c r="T755" s="206">
        <v>2.0000000000000001E-4</v>
      </c>
      <c r="U755" s="206">
        <v>3.2000000000000003E-4</v>
      </c>
      <c r="V755" s="206">
        <v>4.7880000000000006E-2</v>
      </c>
      <c r="W755" s="206">
        <v>4.7500000000000001E-2</v>
      </c>
      <c r="X755" s="206">
        <v>1.2E-4</v>
      </c>
      <c r="Y755" s="206">
        <v>2.5999999999999998E-4</v>
      </c>
      <c r="Z755" s="194"/>
      <c r="AA755" s="194"/>
      <c r="AB755" s="194"/>
      <c r="AC755" s="194"/>
      <c r="AD755" s="194"/>
      <c r="AE755" s="194"/>
      <c r="AF755" s="194"/>
      <c r="AG755" s="194"/>
      <c r="AH755" s="194"/>
      <c r="AI755" s="194"/>
      <c r="AJ755" s="194"/>
      <c r="AK755" s="194"/>
    </row>
    <row r="756" spans="3:37">
      <c r="C756" s="1018"/>
      <c r="D756" s="1018"/>
      <c r="E756" s="196" t="s">
        <v>1220</v>
      </c>
      <c r="F756" s="197">
        <v>0.21647000000000002</v>
      </c>
      <c r="G756" s="197">
        <v>0.21349000000000001</v>
      </c>
      <c r="H756" s="197">
        <v>1.0000000000000001E-5</v>
      </c>
      <c r="I756" s="197">
        <v>2.97E-3</v>
      </c>
      <c r="J756" s="197">
        <v>0.25006</v>
      </c>
      <c r="K756" s="197">
        <v>0.24893999999999999</v>
      </c>
      <c r="L756" s="197">
        <v>5.1000000000000004E-4</v>
      </c>
      <c r="M756" s="197">
        <v>6.0999999999999997E-4</v>
      </c>
      <c r="N756" s="197">
        <v>0.24528</v>
      </c>
      <c r="O756" s="197">
        <v>0.24389</v>
      </c>
      <c r="P756" s="197">
        <v>4.4000000000000002E-4</v>
      </c>
      <c r="Q756" s="197">
        <v>9.5E-4</v>
      </c>
      <c r="R756" s="206">
        <v>0.11823</v>
      </c>
      <c r="S756" s="206">
        <v>0.1174</v>
      </c>
      <c r="T756" s="206">
        <v>3.2000000000000003E-4</v>
      </c>
      <c r="U756" s="206">
        <v>5.1000000000000004E-4</v>
      </c>
      <c r="V756" s="206">
        <v>7.7039999999999983E-2</v>
      </c>
      <c r="W756" s="206">
        <v>7.6439999999999994E-2</v>
      </c>
      <c r="X756" s="206">
        <v>1.9000000000000001E-4</v>
      </c>
      <c r="Y756" s="206">
        <v>4.0999999999999999E-4</v>
      </c>
      <c r="Z756" s="194"/>
      <c r="AA756" s="194"/>
      <c r="AB756" s="194"/>
      <c r="AC756" s="194"/>
      <c r="AD756" s="194"/>
      <c r="AE756" s="194"/>
      <c r="AF756" s="194"/>
      <c r="AG756" s="194"/>
      <c r="AH756" s="194"/>
      <c r="AI756" s="194"/>
      <c r="AJ756" s="194"/>
      <c r="AK756" s="194"/>
    </row>
    <row r="757" spans="3:37">
      <c r="C757" s="1018"/>
      <c r="D757" s="1018" t="s">
        <v>1222</v>
      </c>
      <c r="E757" s="196" t="s">
        <v>485</v>
      </c>
      <c r="F757" s="197">
        <v>0.14691000000000001</v>
      </c>
      <c r="G757" s="197">
        <v>0.14507</v>
      </c>
      <c r="H757" s="197">
        <v>4.3200000000000001E-6</v>
      </c>
      <c r="I757" s="197">
        <v>1.8400000000000001E-3</v>
      </c>
      <c r="J757" s="197">
        <v>0.18007999999999999</v>
      </c>
      <c r="K757" s="197">
        <v>0.17938000000000001</v>
      </c>
      <c r="L757" s="197">
        <v>3.2000000000000003E-4</v>
      </c>
      <c r="M757" s="197">
        <v>3.8000000000000002E-4</v>
      </c>
      <c r="N757" s="197">
        <v>0.16361999999999999</v>
      </c>
      <c r="O757" s="197">
        <v>0.16234999999999999</v>
      </c>
      <c r="P757" s="197">
        <v>1.6000000000000001E-4</v>
      </c>
      <c r="Q757" s="197">
        <v>1.1100000000000001E-3</v>
      </c>
      <c r="R757" s="206">
        <v>0.10104</v>
      </c>
      <c r="S757" s="206">
        <v>0.10037</v>
      </c>
      <c r="T757" s="206">
        <v>2.9E-4</v>
      </c>
      <c r="U757" s="206">
        <v>3.8000000000000002E-4</v>
      </c>
      <c r="V757" s="206">
        <v>5.7719999999999994E-2</v>
      </c>
      <c r="W757" s="206">
        <v>5.7259999999999998E-2</v>
      </c>
      <c r="X757" s="206">
        <v>1.4999999999999999E-4</v>
      </c>
      <c r="Y757" s="206">
        <v>3.1E-4</v>
      </c>
      <c r="Z757" s="194"/>
      <c r="AA757" s="194"/>
      <c r="AB757" s="194"/>
      <c r="AC757" s="194"/>
      <c r="AD757" s="194"/>
      <c r="AE757" s="194"/>
      <c r="AF757" s="194"/>
      <c r="AG757" s="194"/>
      <c r="AH757" s="194"/>
      <c r="AI757" s="194"/>
      <c r="AJ757" s="194"/>
      <c r="AK757" s="194"/>
    </row>
    <row r="758" spans="3:37">
      <c r="C758" s="1018"/>
      <c r="D758" s="1018"/>
      <c r="E758" s="196" t="s">
        <v>1220</v>
      </c>
      <c r="F758" s="197">
        <v>0.23644000000000001</v>
      </c>
      <c r="G758" s="197">
        <v>0.23346</v>
      </c>
      <c r="H758" s="197">
        <v>1.0000000000000001E-5</v>
      </c>
      <c r="I758" s="197">
        <v>2.97E-3</v>
      </c>
      <c r="J758" s="197">
        <v>0.2898</v>
      </c>
      <c r="K758" s="197">
        <v>0.28867999999999999</v>
      </c>
      <c r="L758" s="197">
        <v>5.1000000000000004E-4</v>
      </c>
      <c r="M758" s="197">
        <v>6.0999999999999997E-4</v>
      </c>
      <c r="N758" s="197">
        <v>0.26332</v>
      </c>
      <c r="O758" s="197">
        <v>0.26128000000000001</v>
      </c>
      <c r="P758" s="197">
        <v>2.5999999999999998E-4</v>
      </c>
      <c r="Q758" s="197">
        <v>1.7799999999999999E-3</v>
      </c>
      <c r="R758" s="206">
        <v>0.16259999999999999</v>
      </c>
      <c r="S758" s="206">
        <v>0.16152</v>
      </c>
      <c r="T758" s="206">
        <v>4.6999999999999999E-4</v>
      </c>
      <c r="U758" s="206">
        <v>6.0999999999999997E-4</v>
      </c>
      <c r="V758" s="206">
        <v>9.287999999999999E-2</v>
      </c>
      <c r="W758" s="206">
        <v>9.2149999999999996E-2</v>
      </c>
      <c r="X758" s="206">
        <v>2.3000000000000001E-4</v>
      </c>
      <c r="Y758" s="206">
        <v>5.0000000000000001E-4</v>
      </c>
      <c r="Z758" s="194"/>
      <c r="AA758" s="194"/>
      <c r="AB758" s="194"/>
      <c r="AC758" s="194"/>
      <c r="AD758" s="194"/>
      <c r="AE758" s="194"/>
      <c r="AF758" s="194"/>
      <c r="AG758" s="194"/>
      <c r="AH758" s="194"/>
      <c r="AI758" s="194"/>
      <c r="AJ758" s="194"/>
      <c r="AK758" s="194"/>
    </row>
    <row r="759" spans="3:37">
      <c r="C759" s="1018"/>
      <c r="D759" s="1018" t="s">
        <v>1224</v>
      </c>
      <c r="E759" s="196" t="s">
        <v>485</v>
      </c>
      <c r="F759" s="197">
        <v>0.16533</v>
      </c>
      <c r="G759" s="197">
        <v>0.16349</v>
      </c>
      <c r="H759" s="197">
        <v>4.3200000000000001E-6</v>
      </c>
      <c r="I759" s="197">
        <v>1.8400000000000001E-3</v>
      </c>
      <c r="J759" s="197">
        <v>0.20791999999999999</v>
      </c>
      <c r="K759" s="197">
        <v>0.20721999999999999</v>
      </c>
      <c r="L759" s="197">
        <v>3.2000000000000003E-4</v>
      </c>
      <c r="M759" s="197">
        <v>3.8000000000000002E-4</v>
      </c>
      <c r="N759" s="197">
        <v>0.17537</v>
      </c>
      <c r="O759" s="197">
        <v>0.17379</v>
      </c>
      <c r="P759" s="197">
        <v>8.0000000000000007E-5</v>
      </c>
      <c r="Q759" s="197">
        <v>1.5E-3</v>
      </c>
      <c r="R759" s="206">
        <v>0.11448000000000001</v>
      </c>
      <c r="S759" s="206">
        <v>0.11371000000000001</v>
      </c>
      <c r="T759" s="206">
        <v>3.2000000000000003E-4</v>
      </c>
      <c r="U759" s="206">
        <v>4.4999999999999999E-4</v>
      </c>
      <c r="V759" s="206">
        <v>4.6589999999999999E-2</v>
      </c>
      <c r="W759" s="206">
        <v>4.6219999999999997E-2</v>
      </c>
      <c r="X759" s="206">
        <v>1.2E-4</v>
      </c>
      <c r="Y759" s="206">
        <v>2.5000000000000001E-4</v>
      </c>
      <c r="Z759" s="194"/>
      <c r="AA759" s="194"/>
      <c r="AB759" s="194"/>
      <c r="AC759" s="194"/>
      <c r="AD759" s="194"/>
      <c r="AE759" s="194"/>
      <c r="AF759" s="194"/>
      <c r="AG759" s="194"/>
      <c r="AH759" s="194"/>
      <c r="AI759" s="194"/>
      <c r="AJ759" s="194"/>
      <c r="AK759" s="194"/>
    </row>
    <row r="760" spans="3:37">
      <c r="C760" s="1018"/>
      <c r="D760" s="1018"/>
      <c r="E760" s="196" t="s">
        <v>1220</v>
      </c>
      <c r="F760" s="197">
        <v>0.2661</v>
      </c>
      <c r="G760" s="197">
        <v>0.26312000000000002</v>
      </c>
      <c r="H760" s="197">
        <v>1.0000000000000001E-5</v>
      </c>
      <c r="I760" s="197">
        <v>2.97E-3</v>
      </c>
      <c r="J760" s="197">
        <v>0.33461000000000002</v>
      </c>
      <c r="K760" s="197">
        <v>0.33349000000000001</v>
      </c>
      <c r="L760" s="197">
        <v>5.1000000000000004E-4</v>
      </c>
      <c r="M760" s="197">
        <v>6.0999999999999997E-4</v>
      </c>
      <c r="N760" s="197">
        <v>0.28223000000000004</v>
      </c>
      <c r="O760" s="197">
        <v>0.27968999999999999</v>
      </c>
      <c r="P760" s="197">
        <v>1.2999999999999999E-4</v>
      </c>
      <c r="Q760" s="197">
        <v>2.4099999999999998E-3</v>
      </c>
      <c r="R760" s="206">
        <v>0.18426000000000001</v>
      </c>
      <c r="S760" s="206">
        <v>0.18301000000000001</v>
      </c>
      <c r="T760" s="206">
        <v>5.1999999999999995E-4</v>
      </c>
      <c r="U760" s="206">
        <v>7.2999999999999996E-4</v>
      </c>
      <c r="V760" s="206">
        <v>7.4969999999999995E-2</v>
      </c>
      <c r="W760" s="206">
        <v>7.4380000000000002E-2</v>
      </c>
      <c r="X760" s="206">
        <v>1.9000000000000001E-4</v>
      </c>
      <c r="Y760" s="206">
        <v>4.0000000000000002E-4</v>
      </c>
      <c r="Z760" s="194"/>
      <c r="AA760" s="194"/>
      <c r="AB760" s="194"/>
      <c r="AC760" s="194"/>
      <c r="AD760" s="194"/>
      <c r="AE760" s="194"/>
      <c r="AF760" s="194"/>
      <c r="AG760" s="194"/>
      <c r="AH760" s="194"/>
      <c r="AI760" s="194"/>
      <c r="AJ760" s="194"/>
      <c r="AK760" s="194"/>
    </row>
    <row r="761" spans="3:37">
      <c r="C761" s="1018"/>
      <c r="D761" s="1018" t="s">
        <v>1225</v>
      </c>
      <c r="E761" s="196" t="s">
        <v>485</v>
      </c>
      <c r="F761" s="197">
        <v>0.17524999999999999</v>
      </c>
      <c r="G761" s="197">
        <v>0.17341000000000001</v>
      </c>
      <c r="H761" s="197">
        <v>4.3200000000000001E-6</v>
      </c>
      <c r="I761" s="197">
        <v>1.8400000000000001E-3</v>
      </c>
      <c r="J761" s="197">
        <v>0.23658999999999999</v>
      </c>
      <c r="K761" s="197">
        <v>0.23588999999999999</v>
      </c>
      <c r="L761" s="197">
        <v>3.2000000000000003E-4</v>
      </c>
      <c r="M761" s="197">
        <v>3.8000000000000002E-4</v>
      </c>
      <c r="N761" s="197">
        <v>0.18909000000000001</v>
      </c>
      <c r="O761" s="197">
        <v>0.1875</v>
      </c>
      <c r="P761" s="197">
        <v>8.0000000000000007E-5</v>
      </c>
      <c r="Q761" s="197">
        <v>1.5100000000000001E-3</v>
      </c>
      <c r="R761" s="206">
        <v>0.12417</v>
      </c>
      <c r="S761" s="206">
        <v>0.12335</v>
      </c>
      <c r="T761" s="206">
        <v>3.5E-4</v>
      </c>
      <c r="U761" s="206">
        <v>4.6999999999999999E-4</v>
      </c>
      <c r="V761" s="206" t="s">
        <v>1218</v>
      </c>
      <c r="W761" s="206" t="s">
        <v>1218</v>
      </c>
      <c r="X761" s="206" t="s">
        <v>1218</v>
      </c>
      <c r="Y761" s="206" t="s">
        <v>1218</v>
      </c>
      <c r="Z761" s="194"/>
      <c r="AA761" s="194"/>
      <c r="AB761" s="194"/>
      <c r="AC761" s="194"/>
      <c r="AD761" s="194"/>
      <c r="AE761" s="194"/>
      <c r="AF761" s="194"/>
      <c r="AG761" s="194"/>
      <c r="AH761" s="194"/>
      <c r="AI761" s="194"/>
      <c r="AJ761" s="194"/>
      <c r="AK761" s="194"/>
    </row>
    <row r="762" spans="3:37">
      <c r="C762" s="1018"/>
      <c r="D762" s="1018"/>
      <c r="E762" s="196" t="s">
        <v>1220</v>
      </c>
      <c r="F762" s="197">
        <v>0.28205999999999998</v>
      </c>
      <c r="G762" s="197">
        <v>0.27907999999999999</v>
      </c>
      <c r="H762" s="197">
        <v>1.0000000000000001E-5</v>
      </c>
      <c r="I762" s="197">
        <v>2.97E-3</v>
      </c>
      <c r="J762" s="197">
        <v>0.38075000000000003</v>
      </c>
      <c r="K762" s="197">
        <v>0.37963000000000002</v>
      </c>
      <c r="L762" s="197">
        <v>5.1000000000000004E-4</v>
      </c>
      <c r="M762" s="197">
        <v>6.0999999999999997E-4</v>
      </c>
      <c r="N762" s="197">
        <v>0.30431999999999998</v>
      </c>
      <c r="O762" s="197">
        <v>0.30175999999999997</v>
      </c>
      <c r="P762" s="197">
        <v>1.2E-4</v>
      </c>
      <c r="Q762" s="197">
        <v>2.4399999999999999E-3</v>
      </c>
      <c r="R762" s="206">
        <v>0.19983999999999999</v>
      </c>
      <c r="S762" s="206">
        <v>0.19850999999999999</v>
      </c>
      <c r="T762" s="206">
        <v>5.6999999999999998E-4</v>
      </c>
      <c r="U762" s="206">
        <v>7.6000000000000004E-4</v>
      </c>
      <c r="V762" s="206" t="s">
        <v>1218</v>
      </c>
      <c r="W762" s="206" t="s">
        <v>1218</v>
      </c>
      <c r="X762" s="206" t="s">
        <v>1218</v>
      </c>
      <c r="Y762" s="206" t="s">
        <v>1218</v>
      </c>
      <c r="Z762" s="194"/>
      <c r="AA762" s="194"/>
      <c r="AB762" s="194"/>
      <c r="AC762" s="194"/>
      <c r="AD762" s="194"/>
      <c r="AE762" s="194"/>
      <c r="AF762" s="194"/>
      <c r="AG762" s="194"/>
      <c r="AH762" s="194"/>
      <c r="AI762" s="194"/>
      <c r="AJ762" s="194"/>
      <c r="AK762" s="194"/>
    </row>
    <row r="763" spans="3:37">
      <c r="C763" s="1018"/>
      <c r="D763" s="1018" t="s">
        <v>1226</v>
      </c>
      <c r="E763" s="196" t="s">
        <v>485</v>
      </c>
      <c r="F763" s="197">
        <v>0.21285999999999999</v>
      </c>
      <c r="G763" s="197">
        <v>0.21102000000000001</v>
      </c>
      <c r="H763" s="197">
        <v>4.3200000000000001E-6</v>
      </c>
      <c r="I763" s="197">
        <v>1.8400000000000001E-3</v>
      </c>
      <c r="J763" s="197">
        <v>0.33566000000000001</v>
      </c>
      <c r="K763" s="197">
        <v>0.33495999999999998</v>
      </c>
      <c r="L763" s="197">
        <v>3.2000000000000003E-4</v>
      </c>
      <c r="M763" s="197">
        <v>3.8000000000000002E-4</v>
      </c>
      <c r="N763" s="197">
        <v>0.26918999999999998</v>
      </c>
      <c r="O763" s="197">
        <v>0.26787</v>
      </c>
      <c r="P763" s="197">
        <v>1.4999999999999999E-4</v>
      </c>
      <c r="Q763" s="197">
        <v>1.17E-3</v>
      </c>
      <c r="R763" s="206">
        <v>0.14588000000000001</v>
      </c>
      <c r="S763" s="206">
        <v>0.14491999999999999</v>
      </c>
      <c r="T763" s="206">
        <v>4.2000000000000002E-4</v>
      </c>
      <c r="U763" s="206">
        <v>5.4000000000000001E-4</v>
      </c>
      <c r="V763" s="206">
        <v>7.0269999999999999E-2</v>
      </c>
      <c r="W763" s="206">
        <v>6.9709999999999994E-2</v>
      </c>
      <c r="X763" s="206">
        <v>1.8000000000000001E-4</v>
      </c>
      <c r="Y763" s="206">
        <v>3.8000000000000002E-4</v>
      </c>
      <c r="Z763" s="194"/>
      <c r="AA763" s="194"/>
      <c r="AB763" s="194"/>
      <c r="AC763" s="194"/>
      <c r="AD763" s="194"/>
      <c r="AE763" s="194"/>
      <c r="AF763" s="194"/>
      <c r="AG763" s="194"/>
      <c r="AH763" s="194"/>
      <c r="AI763" s="194"/>
      <c r="AJ763" s="194"/>
      <c r="AK763" s="194"/>
    </row>
    <row r="764" spans="3:37">
      <c r="C764" s="1018"/>
      <c r="D764" s="1018"/>
      <c r="E764" s="196" t="s">
        <v>1220</v>
      </c>
      <c r="F764" s="197">
        <v>0.34258</v>
      </c>
      <c r="G764" s="197">
        <v>0.33960000000000001</v>
      </c>
      <c r="H764" s="197">
        <v>1.0000000000000001E-5</v>
      </c>
      <c r="I764" s="197">
        <v>2.97E-3</v>
      </c>
      <c r="J764" s="197">
        <v>0.54019000000000006</v>
      </c>
      <c r="K764" s="197">
        <v>0.53907000000000005</v>
      </c>
      <c r="L764" s="197">
        <v>5.1000000000000004E-4</v>
      </c>
      <c r="M764" s="197">
        <v>6.0999999999999997E-4</v>
      </c>
      <c r="N764" s="197">
        <v>0.43321999999999999</v>
      </c>
      <c r="O764" s="197">
        <v>0.43108999999999997</v>
      </c>
      <c r="P764" s="197">
        <v>2.4000000000000001E-4</v>
      </c>
      <c r="Q764" s="197">
        <v>1.89E-3</v>
      </c>
      <c r="R764" s="206">
        <v>0.23477000000000001</v>
      </c>
      <c r="S764" s="206">
        <v>0.23322999999999999</v>
      </c>
      <c r="T764" s="206">
        <v>6.8000000000000005E-4</v>
      </c>
      <c r="U764" s="206">
        <v>8.5999999999999998E-4</v>
      </c>
      <c r="V764" s="206">
        <v>0.11309</v>
      </c>
      <c r="W764" s="206">
        <v>0.11219</v>
      </c>
      <c r="X764" s="206">
        <v>2.9E-4</v>
      </c>
      <c r="Y764" s="206">
        <v>6.0999999999999997E-4</v>
      </c>
      <c r="Z764" s="194"/>
      <c r="AA764" s="194"/>
      <c r="AB764" s="194"/>
      <c r="AC764" s="194"/>
      <c r="AD764" s="194"/>
      <c r="AE764" s="194"/>
      <c r="AF764" s="194"/>
      <c r="AG764" s="194"/>
      <c r="AH764" s="194"/>
      <c r="AI764" s="194"/>
      <c r="AJ764" s="194"/>
      <c r="AK764" s="194"/>
    </row>
    <row r="765" spans="3:37">
      <c r="C765" s="1018"/>
      <c r="D765" s="1018" t="s">
        <v>1229</v>
      </c>
      <c r="E765" s="196" t="s">
        <v>485</v>
      </c>
      <c r="F765" s="197">
        <v>0.17332</v>
      </c>
      <c r="G765" s="197">
        <v>0.17147999999999999</v>
      </c>
      <c r="H765" s="197">
        <v>4.3200000000000001E-6</v>
      </c>
      <c r="I765" s="197">
        <v>1.8400000000000001E-3</v>
      </c>
      <c r="J765" s="197">
        <v>0.246</v>
      </c>
      <c r="K765" s="197">
        <v>0.24529999999999999</v>
      </c>
      <c r="L765" s="197">
        <v>3.2000000000000003E-4</v>
      </c>
      <c r="M765" s="197">
        <v>3.8000000000000002E-4</v>
      </c>
      <c r="N765" s="197">
        <v>0.23441000000000001</v>
      </c>
      <c r="O765" s="197">
        <v>0.23352999999999999</v>
      </c>
      <c r="P765" s="197">
        <v>2.7E-4</v>
      </c>
      <c r="Q765" s="197">
        <v>6.0999999999999997E-4</v>
      </c>
      <c r="R765" s="206">
        <v>0.11894999999999999</v>
      </c>
      <c r="S765" s="206">
        <v>0.11817999999999999</v>
      </c>
      <c r="T765" s="206">
        <v>3.4000000000000002E-4</v>
      </c>
      <c r="U765" s="206">
        <v>4.2999999999999999E-4</v>
      </c>
      <c r="V765" s="206">
        <v>8.9679999999999982E-2</v>
      </c>
      <c r="W765" s="206">
        <v>8.8969999999999994E-2</v>
      </c>
      <c r="X765" s="206">
        <v>2.3000000000000001E-4</v>
      </c>
      <c r="Y765" s="206">
        <v>4.8000000000000001E-4</v>
      </c>
      <c r="Z765" s="194"/>
      <c r="AA765" s="194"/>
      <c r="AB765" s="194"/>
      <c r="AC765" s="194"/>
      <c r="AD765" s="194"/>
      <c r="AE765" s="194"/>
      <c r="AF765" s="194"/>
      <c r="AG765" s="194"/>
      <c r="AH765" s="194"/>
      <c r="AI765" s="194"/>
      <c r="AJ765" s="194"/>
      <c r="AK765" s="194"/>
    </row>
    <row r="766" spans="3:37">
      <c r="C766" s="1018"/>
      <c r="D766" s="1018"/>
      <c r="E766" s="196" t="s">
        <v>1220</v>
      </c>
      <c r="F766" s="197">
        <v>0.27894999999999998</v>
      </c>
      <c r="G766" s="197">
        <v>0.27596999999999999</v>
      </c>
      <c r="H766" s="197">
        <v>1.0000000000000001E-5</v>
      </c>
      <c r="I766" s="197">
        <v>2.97E-3</v>
      </c>
      <c r="J766" s="197">
        <v>0.39590000000000003</v>
      </c>
      <c r="K766" s="197">
        <v>0.39478000000000002</v>
      </c>
      <c r="L766" s="197">
        <v>5.1000000000000004E-4</v>
      </c>
      <c r="M766" s="197">
        <v>6.0999999999999997E-4</v>
      </c>
      <c r="N766" s="197">
        <v>0.37723999999999996</v>
      </c>
      <c r="O766" s="197">
        <v>0.37581999999999999</v>
      </c>
      <c r="P766" s="197">
        <v>4.2999999999999999E-4</v>
      </c>
      <c r="Q766" s="197">
        <v>9.8999999999999999E-4</v>
      </c>
      <c r="R766" s="206">
        <v>0.19144</v>
      </c>
      <c r="S766" s="206">
        <v>0.19019</v>
      </c>
      <c r="T766" s="206">
        <v>5.5000000000000003E-4</v>
      </c>
      <c r="U766" s="206">
        <v>6.9999999999999999E-4</v>
      </c>
      <c r="V766" s="206">
        <v>0.14432</v>
      </c>
      <c r="W766" s="206">
        <v>0.14318</v>
      </c>
      <c r="X766" s="206">
        <v>3.6000000000000002E-4</v>
      </c>
      <c r="Y766" s="206">
        <v>7.7999999999999999E-4</v>
      </c>
      <c r="Z766" s="194"/>
      <c r="AA766" s="194"/>
      <c r="AB766" s="194"/>
      <c r="AC766" s="194"/>
      <c r="AD766" s="194"/>
      <c r="AE766" s="194"/>
      <c r="AF766" s="194"/>
      <c r="AG766" s="194"/>
      <c r="AH766" s="194"/>
      <c r="AI766" s="194"/>
      <c r="AJ766" s="194"/>
      <c r="AK766" s="194"/>
    </row>
    <row r="767" spans="3:37">
      <c r="C767" s="1018"/>
      <c r="D767" s="1018" t="s">
        <v>1230</v>
      </c>
      <c r="E767" s="196" t="s">
        <v>485</v>
      </c>
      <c r="F767" s="197">
        <v>0.20257</v>
      </c>
      <c r="G767" s="197">
        <v>0.20072999999999999</v>
      </c>
      <c r="H767" s="197">
        <v>4.3200000000000001E-6</v>
      </c>
      <c r="I767" s="197">
        <v>1.8400000000000001E-3</v>
      </c>
      <c r="J767" s="197">
        <v>0.23663000000000001</v>
      </c>
      <c r="K767" s="197">
        <v>0.23593</v>
      </c>
      <c r="L767" s="197">
        <v>3.2000000000000003E-4</v>
      </c>
      <c r="M767" s="197">
        <v>3.8000000000000002E-4</v>
      </c>
      <c r="N767" s="197">
        <v>0.20924999999999999</v>
      </c>
      <c r="O767" s="197">
        <v>0.20762</v>
      </c>
      <c r="P767" s="197">
        <v>6.9999999999999994E-5</v>
      </c>
      <c r="Q767" s="197">
        <v>1.56E-3</v>
      </c>
      <c r="R767" s="206">
        <v>0.12501999999999999</v>
      </c>
      <c r="S767" s="206">
        <v>0.12418999999999999</v>
      </c>
      <c r="T767" s="206">
        <v>3.5E-4</v>
      </c>
      <c r="U767" s="206">
        <v>4.8000000000000001E-4</v>
      </c>
      <c r="V767" s="206">
        <v>8.0329999999999999E-2</v>
      </c>
      <c r="W767" s="206">
        <v>7.9699999999999993E-2</v>
      </c>
      <c r="X767" s="206">
        <v>2.0000000000000001E-4</v>
      </c>
      <c r="Y767" s="206">
        <v>4.2999999999999999E-4</v>
      </c>
      <c r="Z767" s="194"/>
      <c r="AA767" s="194"/>
      <c r="AB767" s="194"/>
      <c r="AC767" s="194"/>
      <c r="AD767" s="194"/>
      <c r="AE767" s="194"/>
      <c r="AF767" s="194"/>
      <c r="AG767" s="194"/>
      <c r="AH767" s="194"/>
      <c r="AI767" s="194"/>
      <c r="AJ767" s="194"/>
      <c r="AK767" s="194"/>
    </row>
    <row r="768" spans="3:37">
      <c r="C768" s="1018"/>
      <c r="D768" s="1018"/>
      <c r="E768" s="196" t="s">
        <v>1220</v>
      </c>
      <c r="F768" s="197">
        <v>0.32601999999999998</v>
      </c>
      <c r="G768" s="197">
        <v>0.32303999999999999</v>
      </c>
      <c r="H768" s="197">
        <v>1.0000000000000001E-5</v>
      </c>
      <c r="I768" s="197">
        <v>2.97E-3</v>
      </c>
      <c r="J768" s="197">
        <v>0.38081000000000004</v>
      </c>
      <c r="K768" s="197">
        <v>0.37969000000000003</v>
      </c>
      <c r="L768" s="197">
        <v>5.1000000000000004E-4</v>
      </c>
      <c r="M768" s="197">
        <v>6.0999999999999997E-4</v>
      </c>
      <c r="N768" s="197">
        <v>0.33674999999999999</v>
      </c>
      <c r="O768" s="197">
        <v>0.33412999999999998</v>
      </c>
      <c r="P768" s="197">
        <v>1.1E-4</v>
      </c>
      <c r="Q768" s="197">
        <v>2.5100000000000001E-3</v>
      </c>
      <c r="R768" s="206">
        <v>0.20121</v>
      </c>
      <c r="S768" s="206">
        <v>0.19986000000000001</v>
      </c>
      <c r="T768" s="206">
        <v>5.6999999999999998E-4</v>
      </c>
      <c r="U768" s="206">
        <v>7.7999999999999999E-4</v>
      </c>
      <c r="V768" s="206">
        <v>0.12928999999999999</v>
      </c>
      <c r="W768" s="206">
        <v>0.12827</v>
      </c>
      <c r="X768" s="206">
        <v>3.3E-4</v>
      </c>
      <c r="Y768" s="206">
        <v>6.8999999999999997E-4</v>
      </c>
      <c r="Z768" s="194"/>
      <c r="AA768" s="194"/>
      <c r="AB768" s="194"/>
      <c r="AC768" s="194"/>
      <c r="AD768" s="194"/>
      <c r="AE768" s="194"/>
      <c r="AF768" s="194"/>
      <c r="AG768" s="194"/>
      <c r="AH768" s="194"/>
      <c r="AI768" s="194"/>
      <c r="AJ768" s="194"/>
      <c r="AK768" s="194"/>
    </row>
    <row r="769" spans="3:37">
      <c r="C769" s="1018"/>
      <c r="D769" s="1018" t="s">
        <v>1232</v>
      </c>
      <c r="E769" s="196" t="s">
        <v>485</v>
      </c>
      <c r="F769" s="197">
        <v>0.18101</v>
      </c>
      <c r="G769" s="197">
        <v>0.17917</v>
      </c>
      <c r="H769" s="197">
        <v>4.3200000000000001E-6</v>
      </c>
      <c r="I769" s="197">
        <v>1.8400000000000001E-3</v>
      </c>
      <c r="J769" s="197">
        <v>0.19939999999999999</v>
      </c>
      <c r="K769" s="197">
        <v>0.19869999999999999</v>
      </c>
      <c r="L769" s="197">
        <v>3.2000000000000003E-4</v>
      </c>
      <c r="M769" s="197">
        <v>3.8000000000000002E-4</v>
      </c>
      <c r="N769" s="197">
        <v>0.18609999999999999</v>
      </c>
      <c r="O769" s="197">
        <v>0.18457000000000001</v>
      </c>
      <c r="P769" s="197">
        <v>9.0000000000000006E-5</v>
      </c>
      <c r="Q769" s="197">
        <v>1.4400000000000001E-3</v>
      </c>
      <c r="R769" s="206" t="s">
        <v>1218</v>
      </c>
      <c r="S769" s="206" t="s">
        <v>1218</v>
      </c>
      <c r="T769" s="206" t="s">
        <v>1218</v>
      </c>
      <c r="U769" s="206" t="s">
        <v>1218</v>
      </c>
      <c r="V769" s="206">
        <v>6.4039999999999986E-2</v>
      </c>
      <c r="W769" s="206">
        <v>6.3539999999999999E-2</v>
      </c>
      <c r="X769" s="206">
        <v>1.6000000000000001E-4</v>
      </c>
      <c r="Y769" s="206">
        <v>3.4000000000000002E-4</v>
      </c>
      <c r="Z769" s="194"/>
      <c r="AA769" s="194"/>
      <c r="AB769" s="194"/>
      <c r="AC769" s="194"/>
      <c r="AD769" s="194"/>
      <c r="AE769" s="194"/>
      <c r="AF769" s="194"/>
      <c r="AG769" s="194"/>
      <c r="AH769" s="194"/>
      <c r="AI769" s="194"/>
      <c r="AJ769" s="194"/>
      <c r="AK769" s="194"/>
    </row>
    <row r="770" spans="3:37">
      <c r="C770" s="1018"/>
      <c r="D770" s="1018"/>
      <c r="E770" s="196" t="s">
        <v>1220</v>
      </c>
      <c r="F770" s="197">
        <v>0.29132999999999998</v>
      </c>
      <c r="G770" s="197">
        <v>0.28835</v>
      </c>
      <c r="H770" s="197">
        <v>1.0000000000000001E-5</v>
      </c>
      <c r="I770" s="197">
        <v>2.97E-3</v>
      </c>
      <c r="J770" s="197">
        <v>0.32089000000000001</v>
      </c>
      <c r="K770" s="197">
        <v>0.31977</v>
      </c>
      <c r="L770" s="197">
        <v>5.1000000000000004E-4</v>
      </c>
      <c r="M770" s="197">
        <v>6.0999999999999997E-4</v>
      </c>
      <c r="N770" s="197">
        <v>0.29951</v>
      </c>
      <c r="O770" s="197">
        <v>0.29704000000000003</v>
      </c>
      <c r="P770" s="197">
        <v>1.4999999999999999E-4</v>
      </c>
      <c r="Q770" s="197">
        <v>2.32E-3</v>
      </c>
      <c r="R770" s="206" t="s">
        <v>1218</v>
      </c>
      <c r="S770" s="206" t="s">
        <v>1218</v>
      </c>
      <c r="T770" s="206" t="s">
        <v>1218</v>
      </c>
      <c r="U770" s="206" t="s">
        <v>1218</v>
      </c>
      <c r="V770" s="206">
        <v>0.10305999999999998</v>
      </c>
      <c r="W770" s="206">
        <v>0.10224999999999999</v>
      </c>
      <c r="X770" s="206">
        <v>2.5999999999999998E-4</v>
      </c>
      <c r="Y770" s="206">
        <v>5.5000000000000003E-4</v>
      </c>
      <c r="Z770" s="194"/>
      <c r="AA770" s="194"/>
      <c r="AB770" s="194"/>
      <c r="AC770" s="194"/>
      <c r="AD770" s="194"/>
      <c r="AE770" s="194"/>
      <c r="AF770" s="194"/>
      <c r="AG770" s="194"/>
      <c r="AH770" s="194"/>
      <c r="AI770" s="194"/>
      <c r="AJ770" s="194"/>
      <c r="AK770" s="194"/>
    </row>
    <row r="771" spans="3:37">
      <c r="C771" s="194"/>
      <c r="D771" s="194"/>
      <c r="E771" s="194"/>
      <c r="F771" s="194"/>
      <c r="G771" s="194"/>
      <c r="H771" s="194"/>
      <c r="I771" s="194"/>
      <c r="J771" s="194"/>
      <c r="K771" s="194"/>
      <c r="L771" s="194"/>
      <c r="M771" s="194"/>
      <c r="N771" s="194"/>
      <c r="O771" s="194"/>
      <c r="P771" s="194"/>
      <c r="Q771" s="194"/>
      <c r="R771" s="194"/>
      <c r="S771" s="194"/>
      <c r="T771" s="194"/>
      <c r="U771" s="194"/>
      <c r="V771" s="194"/>
      <c r="W771" s="194"/>
      <c r="X771" s="194"/>
      <c r="Y771" s="194"/>
      <c r="Z771" s="194"/>
      <c r="AA771" s="194"/>
      <c r="AB771" s="194"/>
      <c r="AC771" s="194"/>
      <c r="AD771" s="194"/>
      <c r="AE771" s="194"/>
      <c r="AF771" s="194"/>
      <c r="AG771" s="194"/>
      <c r="AH771" s="194"/>
      <c r="AI771" s="194"/>
      <c r="AJ771" s="194"/>
      <c r="AK771" s="194"/>
    </row>
    <row r="772" spans="3:37">
      <c r="C772" s="194"/>
      <c r="D772" s="194"/>
      <c r="E772" s="194"/>
      <c r="F772" s="194"/>
      <c r="G772" s="194"/>
      <c r="H772" s="194"/>
      <c r="I772" s="194"/>
      <c r="J772" s="194"/>
      <c r="K772" s="194"/>
      <c r="L772" s="194"/>
      <c r="M772" s="194"/>
      <c r="N772" s="194"/>
      <c r="O772" s="194"/>
      <c r="P772" s="194"/>
      <c r="Q772" s="194"/>
      <c r="R772" s="194"/>
      <c r="S772" s="194"/>
      <c r="T772" s="194"/>
      <c r="U772" s="194"/>
      <c r="V772" s="194"/>
      <c r="W772" s="194"/>
      <c r="X772" s="194"/>
      <c r="Y772" s="194"/>
      <c r="Z772" s="194"/>
      <c r="AA772" s="194"/>
      <c r="AB772" s="194"/>
      <c r="AC772" s="194"/>
      <c r="AD772" s="194"/>
      <c r="AE772" s="194"/>
      <c r="AF772" s="194"/>
      <c r="AG772" s="194"/>
      <c r="AH772" s="194"/>
      <c r="AI772" s="194"/>
      <c r="AJ772" s="194"/>
      <c r="AK772" s="194"/>
    </row>
    <row r="773" spans="3:37">
      <c r="C773" s="194"/>
      <c r="D773" s="194"/>
      <c r="E773" s="194"/>
      <c r="F773" s="1021" t="s">
        <v>342</v>
      </c>
      <c r="G773" s="1021"/>
      <c r="H773" s="1021"/>
      <c r="I773" s="1021"/>
      <c r="J773" s="1021" t="s">
        <v>339</v>
      </c>
      <c r="K773" s="1021"/>
      <c r="L773" s="1021"/>
      <c r="M773" s="1021"/>
      <c r="N773" s="1021" t="s">
        <v>1234</v>
      </c>
      <c r="O773" s="1021"/>
      <c r="P773" s="1021"/>
      <c r="Q773" s="1021"/>
      <c r="R773" s="1021" t="s">
        <v>343</v>
      </c>
      <c r="S773" s="1021"/>
      <c r="T773" s="1021"/>
      <c r="U773" s="1021"/>
      <c r="V773" s="1021" t="s">
        <v>1143</v>
      </c>
      <c r="W773" s="1021"/>
      <c r="X773" s="1021"/>
      <c r="Y773" s="1021"/>
      <c r="Z773" s="1021" t="s">
        <v>311</v>
      </c>
      <c r="AA773" s="1021"/>
      <c r="AB773" s="1021"/>
      <c r="AC773" s="1042"/>
      <c r="AD773" s="1039" t="s">
        <v>1213</v>
      </c>
      <c r="AE773" s="1040"/>
      <c r="AF773" s="1040"/>
      <c r="AG773" s="1041"/>
      <c r="AH773" s="1039" t="s">
        <v>1214</v>
      </c>
      <c r="AI773" s="1040"/>
      <c r="AJ773" s="1040"/>
      <c r="AK773" s="1041"/>
    </row>
    <row r="774" spans="3:37" ht="16.5">
      <c r="C774" s="195" t="s">
        <v>1129</v>
      </c>
      <c r="D774" s="195" t="s">
        <v>1215</v>
      </c>
      <c r="E774" s="195" t="s">
        <v>860</v>
      </c>
      <c r="F774" s="196" t="s">
        <v>1131</v>
      </c>
      <c r="G774" s="196" t="s">
        <v>1132</v>
      </c>
      <c r="H774" s="196" t="s">
        <v>1133</v>
      </c>
      <c r="I774" s="196" t="s">
        <v>1134</v>
      </c>
      <c r="J774" s="196" t="s">
        <v>1131</v>
      </c>
      <c r="K774" s="196" t="s">
        <v>1132</v>
      </c>
      <c r="L774" s="196" t="s">
        <v>1133</v>
      </c>
      <c r="M774" s="196" t="s">
        <v>1134</v>
      </c>
      <c r="N774" s="196" t="s">
        <v>1131</v>
      </c>
      <c r="O774" s="196" t="s">
        <v>1132</v>
      </c>
      <c r="P774" s="196" t="s">
        <v>1133</v>
      </c>
      <c r="Q774" s="196" t="s">
        <v>1134</v>
      </c>
      <c r="R774" s="196" t="s">
        <v>1131</v>
      </c>
      <c r="S774" s="196" t="s">
        <v>1132</v>
      </c>
      <c r="T774" s="196" t="s">
        <v>1133</v>
      </c>
      <c r="U774" s="196" t="s">
        <v>1134</v>
      </c>
      <c r="V774" s="196" t="s">
        <v>1131</v>
      </c>
      <c r="W774" s="196" t="s">
        <v>1132</v>
      </c>
      <c r="X774" s="196" t="s">
        <v>1133</v>
      </c>
      <c r="Y774" s="196" t="s">
        <v>1134</v>
      </c>
      <c r="Z774" s="196" t="s">
        <v>1131</v>
      </c>
      <c r="AA774" s="196" t="s">
        <v>1132</v>
      </c>
      <c r="AB774" s="196" t="s">
        <v>1133</v>
      </c>
      <c r="AC774" s="196" t="s">
        <v>1134</v>
      </c>
      <c r="AD774" s="202" t="s">
        <v>1131</v>
      </c>
      <c r="AE774" s="202" t="s">
        <v>1132</v>
      </c>
      <c r="AF774" s="202" t="s">
        <v>1133</v>
      </c>
      <c r="AG774" s="203" t="s">
        <v>1134</v>
      </c>
      <c r="AH774" s="204" t="s">
        <v>1131</v>
      </c>
      <c r="AI774" s="202" t="s">
        <v>1132</v>
      </c>
      <c r="AJ774" s="202" t="s">
        <v>1133</v>
      </c>
      <c r="AK774" s="205" t="s">
        <v>1134</v>
      </c>
    </row>
    <row r="775" spans="3:37">
      <c r="C775" s="1018" t="s">
        <v>1236</v>
      </c>
      <c r="D775" s="1018" t="s">
        <v>1237</v>
      </c>
      <c r="E775" s="196" t="s">
        <v>485</v>
      </c>
      <c r="F775" s="198">
        <v>0.14208000000000001</v>
      </c>
      <c r="G775" s="198">
        <v>0.14024</v>
      </c>
      <c r="H775" s="198">
        <v>4.3200000000000001E-6</v>
      </c>
      <c r="I775" s="198">
        <v>1.8400000000000001E-3</v>
      </c>
      <c r="J775" s="198">
        <v>0.15371000000000001</v>
      </c>
      <c r="K775" s="198">
        <v>0.15301000000000001</v>
      </c>
      <c r="L775" s="198">
        <v>3.2000000000000003E-4</v>
      </c>
      <c r="M775" s="198">
        <v>3.8000000000000002E-4</v>
      </c>
      <c r="N775" s="198">
        <v>0.1052</v>
      </c>
      <c r="O775" s="198">
        <v>0.10409</v>
      </c>
      <c r="P775" s="198">
        <v>2.1000000000000001E-4</v>
      </c>
      <c r="Q775" s="198">
        <v>8.9999999999999998E-4</v>
      </c>
      <c r="R775" s="200"/>
      <c r="S775" s="200"/>
      <c r="T775" s="200"/>
      <c r="U775" s="200"/>
      <c r="V775" s="200"/>
      <c r="W775" s="200"/>
      <c r="X775" s="200"/>
      <c r="Y775" s="200"/>
      <c r="Z775" s="198">
        <v>0.14957999999999999</v>
      </c>
      <c r="AA775" s="198">
        <v>0.14846999999999999</v>
      </c>
      <c r="AB775" s="198">
        <v>2.1000000000000001E-4</v>
      </c>
      <c r="AC775" s="198">
        <v>8.9999999999999998E-4</v>
      </c>
      <c r="AD775" s="206">
        <v>7.3470000000000008E-2</v>
      </c>
      <c r="AE775" s="206">
        <v>7.2950000000000001E-2</v>
      </c>
      <c r="AF775" s="206">
        <v>2.0000000000000001E-4</v>
      </c>
      <c r="AG775" s="206">
        <v>3.2000000000000003E-4</v>
      </c>
      <c r="AH775" s="206">
        <v>4.956E-2</v>
      </c>
      <c r="AI775" s="206">
        <v>4.9160000000000002E-2</v>
      </c>
      <c r="AJ775" s="206">
        <v>1.2999999999999999E-4</v>
      </c>
      <c r="AK775" s="206">
        <v>2.7E-4</v>
      </c>
    </row>
    <row r="776" spans="3:37">
      <c r="C776" s="1018"/>
      <c r="D776" s="1018"/>
      <c r="E776" s="196" t="s">
        <v>1220</v>
      </c>
      <c r="F776" s="198">
        <v>0.22868000000000002</v>
      </c>
      <c r="G776" s="198">
        <v>0.22570000000000001</v>
      </c>
      <c r="H776" s="198">
        <v>1.0000000000000001E-5</v>
      </c>
      <c r="I776" s="198">
        <v>2.97E-3</v>
      </c>
      <c r="J776" s="198">
        <v>0.24736</v>
      </c>
      <c r="K776" s="198">
        <v>0.24623999999999999</v>
      </c>
      <c r="L776" s="198">
        <v>5.1000000000000004E-4</v>
      </c>
      <c r="M776" s="198">
        <v>6.0999999999999997E-4</v>
      </c>
      <c r="N776" s="198">
        <v>0.16930000000000001</v>
      </c>
      <c r="O776" s="198">
        <v>0.16752</v>
      </c>
      <c r="P776" s="198">
        <v>3.3E-4</v>
      </c>
      <c r="Q776" s="198">
        <v>1.4499999999999999E-3</v>
      </c>
      <c r="R776" s="200"/>
      <c r="S776" s="200"/>
      <c r="T776" s="200"/>
      <c r="U776" s="200"/>
      <c r="V776" s="200"/>
      <c r="W776" s="200"/>
      <c r="X776" s="200"/>
      <c r="Y776" s="200"/>
      <c r="Z776" s="198">
        <v>0.24072000000000002</v>
      </c>
      <c r="AA776" s="198">
        <v>0.23894000000000001</v>
      </c>
      <c r="AB776" s="198">
        <v>3.3E-4</v>
      </c>
      <c r="AC776" s="198">
        <v>1.4499999999999999E-3</v>
      </c>
      <c r="AD776" s="206">
        <v>0.11823</v>
      </c>
      <c r="AE776" s="206">
        <v>0.1174</v>
      </c>
      <c r="AF776" s="206">
        <v>3.2000000000000003E-4</v>
      </c>
      <c r="AG776" s="206">
        <v>5.1000000000000004E-4</v>
      </c>
      <c r="AH776" s="206">
        <v>7.9750000000000001E-2</v>
      </c>
      <c r="AI776" s="206">
        <v>7.9119999999999996E-2</v>
      </c>
      <c r="AJ776" s="206">
        <v>2.0000000000000001E-4</v>
      </c>
      <c r="AK776" s="206">
        <v>4.2999999999999999E-4</v>
      </c>
    </row>
    <row r="777" spans="3:37">
      <c r="C777" s="1018"/>
      <c r="D777" s="1018" t="s">
        <v>1239</v>
      </c>
      <c r="E777" s="196" t="s">
        <v>485</v>
      </c>
      <c r="F777" s="198">
        <v>0.17061000000000001</v>
      </c>
      <c r="G777" s="198">
        <v>0.16877</v>
      </c>
      <c r="H777" s="198">
        <v>4.3200000000000001E-6</v>
      </c>
      <c r="I777" s="198">
        <v>1.8400000000000001E-3</v>
      </c>
      <c r="J777" s="198">
        <v>0.19228000000000001</v>
      </c>
      <c r="K777" s="198">
        <v>0.19158</v>
      </c>
      <c r="L777" s="198">
        <v>3.2000000000000003E-4</v>
      </c>
      <c r="M777" s="198">
        <v>3.8000000000000002E-4</v>
      </c>
      <c r="N777" s="198">
        <v>0.10895000000000001</v>
      </c>
      <c r="O777" s="198">
        <v>0.10764</v>
      </c>
      <c r="P777" s="198">
        <v>1.4999999999999999E-4</v>
      </c>
      <c r="Q777" s="198">
        <v>1.16E-3</v>
      </c>
      <c r="R777" s="198">
        <v>0.16175999999999999</v>
      </c>
      <c r="S777" s="198">
        <v>0.15972</v>
      </c>
      <c r="T777" s="198">
        <v>1.5900000000000001E-3</v>
      </c>
      <c r="U777" s="198">
        <v>4.4999999999999999E-4</v>
      </c>
      <c r="V777" s="198">
        <v>0.18065999999999999</v>
      </c>
      <c r="W777" s="198">
        <v>0.18015999999999999</v>
      </c>
      <c r="X777" s="198">
        <v>5.0000000000000002E-5</v>
      </c>
      <c r="Y777" s="198">
        <v>4.4999999999999999E-4</v>
      </c>
      <c r="Z777" s="198">
        <v>0.18071000000000001</v>
      </c>
      <c r="AA777" s="198">
        <v>0.1794</v>
      </c>
      <c r="AB777" s="198">
        <v>1.4999999999999999E-4</v>
      </c>
      <c r="AC777" s="198">
        <v>1.16E-3</v>
      </c>
      <c r="AD777" s="206">
        <v>0.10998000000000001</v>
      </c>
      <c r="AE777" s="206">
        <v>0.10924</v>
      </c>
      <c r="AF777" s="206">
        <v>3.1E-4</v>
      </c>
      <c r="AG777" s="206">
        <v>4.2999999999999999E-4</v>
      </c>
      <c r="AH777" s="206">
        <v>5.7689999999999998E-2</v>
      </c>
      <c r="AI777" s="206">
        <v>5.7230000000000003E-2</v>
      </c>
      <c r="AJ777" s="206">
        <v>1.4999999999999999E-4</v>
      </c>
      <c r="AK777" s="206">
        <v>3.1E-4</v>
      </c>
    </row>
    <row r="778" spans="3:37">
      <c r="C778" s="1018"/>
      <c r="D778" s="1018"/>
      <c r="E778" s="196" t="s">
        <v>1220</v>
      </c>
      <c r="F778" s="198">
        <v>0.27459</v>
      </c>
      <c r="G778" s="198">
        <v>0.27161000000000002</v>
      </c>
      <c r="H778" s="198">
        <v>1.0000000000000001E-5</v>
      </c>
      <c r="I778" s="198">
        <v>2.97E-3</v>
      </c>
      <c r="J778" s="198">
        <v>0.30945</v>
      </c>
      <c r="K778" s="198">
        <v>0.30832999999999999</v>
      </c>
      <c r="L778" s="198">
        <v>5.1000000000000004E-4</v>
      </c>
      <c r="M778" s="198">
        <v>6.0999999999999997E-4</v>
      </c>
      <c r="N778" s="198">
        <v>0.17534</v>
      </c>
      <c r="O778" s="198">
        <v>0.17323</v>
      </c>
      <c r="P778" s="198">
        <v>2.4000000000000001E-4</v>
      </c>
      <c r="Q778" s="198">
        <v>1.8699999999999999E-3</v>
      </c>
      <c r="R778" s="198">
        <v>0.26034000000000002</v>
      </c>
      <c r="S778" s="198">
        <v>0.25705</v>
      </c>
      <c r="T778" s="198">
        <v>2.5699999999999998E-3</v>
      </c>
      <c r="U778" s="198">
        <v>7.2000000000000005E-4</v>
      </c>
      <c r="V778" s="198">
        <v>0.29073000000000004</v>
      </c>
      <c r="W778" s="198">
        <v>0.28993000000000002</v>
      </c>
      <c r="X778" s="198">
        <v>8.0000000000000007E-5</v>
      </c>
      <c r="Y778" s="198">
        <v>7.2000000000000005E-4</v>
      </c>
      <c r="Z778" s="198">
        <v>0.29082000000000002</v>
      </c>
      <c r="AA778" s="198">
        <v>0.28871000000000002</v>
      </c>
      <c r="AB778" s="198">
        <v>2.4000000000000001E-4</v>
      </c>
      <c r="AC778" s="198">
        <v>1.8699999999999999E-3</v>
      </c>
      <c r="AD778" s="206">
        <v>0.17699000000000001</v>
      </c>
      <c r="AE778" s="206">
        <v>0.17580000000000001</v>
      </c>
      <c r="AF778" s="206">
        <v>5.0000000000000001E-4</v>
      </c>
      <c r="AG778" s="206">
        <v>6.8999999999999997E-4</v>
      </c>
      <c r="AH778" s="206">
        <v>9.282E-2</v>
      </c>
      <c r="AI778" s="206">
        <v>9.2090000000000005E-2</v>
      </c>
      <c r="AJ778" s="206">
        <v>2.3000000000000001E-4</v>
      </c>
      <c r="AK778" s="206">
        <v>5.0000000000000001E-4</v>
      </c>
    </row>
    <row r="779" spans="3:37">
      <c r="C779" s="1018"/>
      <c r="D779" s="1018" t="s">
        <v>1240</v>
      </c>
      <c r="E779" s="196" t="s">
        <v>485</v>
      </c>
      <c r="F779" s="198">
        <v>0.20946999999999999</v>
      </c>
      <c r="G779" s="198">
        <v>0.20763000000000001</v>
      </c>
      <c r="H779" s="198">
        <v>4.3200000000000001E-6</v>
      </c>
      <c r="I779" s="198">
        <v>1.8400000000000001E-3</v>
      </c>
      <c r="J779" s="198">
        <v>0.28294999999999998</v>
      </c>
      <c r="K779" s="198">
        <v>0.28225</v>
      </c>
      <c r="L779" s="198">
        <v>3.2000000000000003E-4</v>
      </c>
      <c r="M779" s="198">
        <v>3.8000000000000002E-4</v>
      </c>
      <c r="N779" s="198">
        <v>0.13177</v>
      </c>
      <c r="O779" s="198">
        <v>0.13022</v>
      </c>
      <c r="P779" s="198">
        <v>9.0000000000000006E-5</v>
      </c>
      <c r="Q779" s="198">
        <v>1.4599999999999999E-3</v>
      </c>
      <c r="R779" s="198">
        <v>0.23735000000000001</v>
      </c>
      <c r="S779" s="198">
        <v>0.23530999999999999</v>
      </c>
      <c r="T779" s="198">
        <v>1.5900000000000001E-3</v>
      </c>
      <c r="U779" s="198">
        <v>4.4999999999999999E-4</v>
      </c>
      <c r="V779" s="198">
        <v>0.26590999999999998</v>
      </c>
      <c r="W779" s="198">
        <v>0.26540999999999998</v>
      </c>
      <c r="X779" s="198">
        <v>5.0000000000000002E-5</v>
      </c>
      <c r="Y779" s="198">
        <v>4.4999999999999999E-4</v>
      </c>
      <c r="Z779" s="198">
        <v>0.22857</v>
      </c>
      <c r="AA779" s="198">
        <v>0.22702</v>
      </c>
      <c r="AB779" s="198">
        <v>9.0000000000000006E-5</v>
      </c>
      <c r="AC779" s="198">
        <v>1.4599999999999999E-3</v>
      </c>
      <c r="AD779" s="206">
        <v>0.12567</v>
      </c>
      <c r="AE779" s="206">
        <v>0.12483</v>
      </c>
      <c r="AF779" s="206">
        <v>3.6000000000000002E-4</v>
      </c>
      <c r="AG779" s="206">
        <v>4.8000000000000001E-4</v>
      </c>
      <c r="AH779" s="206">
        <v>7.2559999999999999E-2</v>
      </c>
      <c r="AI779" s="206">
        <v>7.1989999999999998E-2</v>
      </c>
      <c r="AJ779" s="206">
        <v>1.8000000000000001E-4</v>
      </c>
      <c r="AK779" s="206">
        <v>3.8999999999999999E-4</v>
      </c>
    </row>
    <row r="780" spans="3:37">
      <c r="C780" s="1018"/>
      <c r="D780" s="1018"/>
      <c r="E780" s="196" t="s">
        <v>1220</v>
      </c>
      <c r="F780" s="198">
        <v>0.33712999999999999</v>
      </c>
      <c r="G780" s="198">
        <v>0.33415</v>
      </c>
      <c r="H780" s="198">
        <v>1.0000000000000001E-5</v>
      </c>
      <c r="I780" s="198">
        <v>2.97E-3</v>
      </c>
      <c r="J780" s="198">
        <v>0.45535999999999999</v>
      </c>
      <c r="K780" s="198">
        <v>0.45423999999999998</v>
      </c>
      <c r="L780" s="198">
        <v>5.1000000000000004E-4</v>
      </c>
      <c r="M780" s="198">
        <v>6.0999999999999997E-4</v>
      </c>
      <c r="N780" s="198">
        <v>0.21207000000000001</v>
      </c>
      <c r="O780" s="198">
        <v>0.20957000000000001</v>
      </c>
      <c r="P780" s="198">
        <v>1.3999999999999999E-4</v>
      </c>
      <c r="Q780" s="198">
        <v>2.3600000000000001E-3</v>
      </c>
      <c r="R780" s="198">
        <v>0.38198000000000004</v>
      </c>
      <c r="S780" s="198">
        <v>0.37869000000000003</v>
      </c>
      <c r="T780" s="198">
        <v>2.5699999999999998E-3</v>
      </c>
      <c r="U780" s="198">
        <v>7.2000000000000005E-4</v>
      </c>
      <c r="V780" s="198">
        <v>0.42794000000000004</v>
      </c>
      <c r="W780" s="198">
        <v>0.42714000000000002</v>
      </c>
      <c r="X780" s="198">
        <v>8.0000000000000007E-5</v>
      </c>
      <c r="Y780" s="198">
        <v>7.2000000000000005E-4</v>
      </c>
      <c r="Z780" s="198">
        <v>0.36784999999999995</v>
      </c>
      <c r="AA780" s="198">
        <v>0.36535000000000001</v>
      </c>
      <c r="AB780" s="198">
        <v>1.3999999999999999E-4</v>
      </c>
      <c r="AC780" s="198">
        <v>2.3600000000000001E-3</v>
      </c>
      <c r="AD780" s="206">
        <v>0.20224999999999999</v>
      </c>
      <c r="AE780" s="206">
        <v>0.2009</v>
      </c>
      <c r="AF780" s="206">
        <v>5.6999999999999998E-4</v>
      </c>
      <c r="AG780" s="206">
        <v>7.7999999999999999E-4</v>
      </c>
      <c r="AH780" s="206">
        <v>0.11677</v>
      </c>
      <c r="AI780" s="206">
        <v>0.11584999999999999</v>
      </c>
      <c r="AJ780" s="206">
        <v>2.9E-4</v>
      </c>
      <c r="AK780" s="206">
        <v>6.3000000000000003E-4</v>
      </c>
    </row>
    <row r="781" spans="3:37">
      <c r="C781" s="1018"/>
      <c r="D781" s="1018" t="s">
        <v>1242</v>
      </c>
      <c r="E781" s="196" t="s">
        <v>485</v>
      </c>
      <c r="F781" s="198">
        <v>0.17335999999999999</v>
      </c>
      <c r="G781" s="198">
        <v>0.17152000000000001</v>
      </c>
      <c r="H781" s="198">
        <v>4.3200000000000001E-6</v>
      </c>
      <c r="I781" s="198">
        <v>1.8400000000000001E-3</v>
      </c>
      <c r="J781" s="198">
        <v>0.18084</v>
      </c>
      <c r="K781" s="198">
        <v>0.18013999999999999</v>
      </c>
      <c r="L781" s="198">
        <v>3.2000000000000003E-4</v>
      </c>
      <c r="M781" s="198">
        <v>3.8000000000000002E-4</v>
      </c>
      <c r="N781" s="198">
        <v>0.11473</v>
      </c>
      <c r="O781" s="198">
        <v>0.11346000000000001</v>
      </c>
      <c r="P781" s="198">
        <v>1.6000000000000001E-4</v>
      </c>
      <c r="Q781" s="198">
        <v>1.1100000000000001E-3</v>
      </c>
      <c r="R781" s="198">
        <v>0.17802999999999999</v>
      </c>
      <c r="S781" s="198">
        <v>0.17599000000000001</v>
      </c>
      <c r="T781" s="198">
        <v>1.5900000000000001E-3</v>
      </c>
      <c r="U781" s="198">
        <v>4.4999999999999999E-4</v>
      </c>
      <c r="V781" s="198">
        <v>0.19900999999999999</v>
      </c>
      <c r="W781" s="198">
        <v>0.19850999999999999</v>
      </c>
      <c r="X781" s="198">
        <v>5.0000000000000002E-5</v>
      </c>
      <c r="Y781" s="198">
        <v>4.4999999999999999E-4</v>
      </c>
      <c r="Z781" s="198">
        <v>0.17710000000000001</v>
      </c>
      <c r="AA781" s="198">
        <v>0.17582999999999999</v>
      </c>
      <c r="AB781" s="198">
        <v>1.6000000000000001E-4</v>
      </c>
      <c r="AC781" s="198">
        <v>1.1100000000000001E-3</v>
      </c>
      <c r="AD781" s="206">
        <v>0.11532000000000001</v>
      </c>
      <c r="AE781" s="206">
        <v>0.11454</v>
      </c>
      <c r="AF781" s="206">
        <v>3.3E-4</v>
      </c>
      <c r="AG781" s="206">
        <v>4.4999999999999999E-4</v>
      </c>
      <c r="AH781" s="206">
        <v>6.0199999999999997E-2</v>
      </c>
      <c r="AI781" s="206">
        <v>5.9729999999999998E-2</v>
      </c>
      <c r="AJ781" s="206">
        <v>1.4999999999999999E-4</v>
      </c>
      <c r="AK781" s="206">
        <v>3.2000000000000003E-4</v>
      </c>
    </row>
    <row r="782" spans="3:37">
      <c r="C782" s="1018"/>
      <c r="D782" s="1018"/>
      <c r="E782" s="196" t="s">
        <v>1220</v>
      </c>
      <c r="F782" s="198">
        <v>0.27900999999999998</v>
      </c>
      <c r="G782" s="198">
        <v>0.27603</v>
      </c>
      <c r="H782" s="198">
        <v>1.0000000000000001E-5</v>
      </c>
      <c r="I782" s="198">
        <v>2.97E-3</v>
      </c>
      <c r="J782" s="198">
        <v>0.29103000000000001</v>
      </c>
      <c r="K782" s="198">
        <v>0.28991</v>
      </c>
      <c r="L782" s="198">
        <v>5.1000000000000004E-4</v>
      </c>
      <c r="M782" s="198">
        <v>6.0999999999999997E-4</v>
      </c>
      <c r="N782" s="198">
        <v>0.18464000000000003</v>
      </c>
      <c r="O782" s="198">
        <v>0.18259</v>
      </c>
      <c r="P782" s="198">
        <v>2.5999999999999998E-4</v>
      </c>
      <c r="Q782" s="198">
        <v>1.7899999999999999E-3</v>
      </c>
      <c r="R782" s="198">
        <v>0.28653000000000001</v>
      </c>
      <c r="S782" s="198">
        <v>0.28323999999999999</v>
      </c>
      <c r="T782" s="198">
        <v>2.5699999999999998E-3</v>
      </c>
      <c r="U782" s="198">
        <v>7.2000000000000005E-4</v>
      </c>
      <c r="V782" s="198">
        <v>0.32027</v>
      </c>
      <c r="W782" s="198">
        <v>0.31946999999999998</v>
      </c>
      <c r="X782" s="198">
        <v>8.0000000000000007E-5</v>
      </c>
      <c r="Y782" s="198">
        <v>7.2000000000000005E-4</v>
      </c>
      <c r="Z782" s="198">
        <v>0.28502</v>
      </c>
      <c r="AA782" s="198">
        <v>0.28297</v>
      </c>
      <c r="AB782" s="198">
        <v>2.5999999999999998E-4</v>
      </c>
      <c r="AC782" s="198">
        <v>1.7899999999999999E-3</v>
      </c>
      <c r="AD782" s="206">
        <v>0.18559</v>
      </c>
      <c r="AE782" s="206">
        <v>0.18434</v>
      </c>
      <c r="AF782" s="206">
        <v>5.2999999999999998E-4</v>
      </c>
      <c r="AG782" s="206">
        <v>7.2000000000000005E-4</v>
      </c>
      <c r="AH782" s="206">
        <v>9.6880000000000008E-2</v>
      </c>
      <c r="AI782" s="206">
        <v>9.6119999999999997E-2</v>
      </c>
      <c r="AJ782" s="206">
        <v>2.4000000000000001E-4</v>
      </c>
      <c r="AK782" s="206">
        <v>5.1999999999999995E-4</v>
      </c>
    </row>
    <row r="783" spans="3:37">
      <c r="C783" s="194"/>
      <c r="D783" s="194"/>
      <c r="E783" s="194"/>
      <c r="F783" s="194"/>
      <c r="G783" s="194"/>
      <c r="H783" s="194"/>
      <c r="I783" s="194"/>
      <c r="J783" s="194"/>
      <c r="K783" s="194"/>
      <c r="L783" s="194"/>
      <c r="M783" s="194"/>
      <c r="N783" s="194"/>
      <c r="O783" s="194"/>
      <c r="P783" s="194"/>
      <c r="Q783" s="194"/>
      <c r="R783" s="194"/>
      <c r="S783" s="194"/>
      <c r="T783" s="194"/>
      <c r="U783" s="194"/>
      <c r="V783" s="194"/>
      <c r="W783" s="194"/>
      <c r="X783" s="194"/>
      <c r="Y783" s="194"/>
      <c r="Z783" s="194"/>
      <c r="AA783" s="194"/>
      <c r="AB783" s="194"/>
      <c r="AC783" s="194"/>
      <c r="AD783" s="194"/>
      <c r="AE783" s="194"/>
      <c r="AF783" s="194"/>
      <c r="AG783" s="194"/>
      <c r="AH783" s="194"/>
      <c r="AI783" s="194"/>
      <c r="AJ783" s="194"/>
      <c r="AK783" s="194"/>
    </row>
    <row r="784" spans="3:37">
      <c r="C784" s="194"/>
      <c r="D784" s="194"/>
      <c r="E784" s="194"/>
      <c r="F784" s="194"/>
      <c r="G784" s="194"/>
      <c r="H784" s="194"/>
      <c r="I784" s="194"/>
      <c r="J784" s="194"/>
      <c r="K784" s="194"/>
      <c r="L784" s="194"/>
      <c r="M784" s="194"/>
      <c r="N784" s="194"/>
      <c r="O784" s="194"/>
      <c r="P784" s="194"/>
      <c r="Q784" s="194"/>
      <c r="R784" s="194"/>
      <c r="S784" s="194"/>
      <c r="T784" s="194"/>
      <c r="U784" s="194"/>
      <c r="V784" s="194"/>
      <c r="W784" s="194"/>
      <c r="X784" s="194"/>
      <c r="Y784" s="194"/>
      <c r="Z784" s="194"/>
      <c r="AA784" s="194"/>
      <c r="AB784" s="194"/>
      <c r="AC784" s="194"/>
      <c r="AD784" s="194"/>
      <c r="AE784" s="194"/>
      <c r="AF784" s="194"/>
      <c r="AG784" s="194"/>
      <c r="AH784" s="194"/>
      <c r="AI784" s="194"/>
      <c r="AJ784" s="194"/>
      <c r="AK784" s="194"/>
    </row>
    <row r="785" spans="3:37">
      <c r="C785" s="194"/>
      <c r="D785" s="194"/>
      <c r="E785" s="194"/>
      <c r="F785" s="194"/>
      <c r="G785" s="194"/>
      <c r="H785" s="194"/>
      <c r="I785" s="194"/>
      <c r="J785" s="194"/>
      <c r="K785" s="194"/>
      <c r="L785" s="194"/>
      <c r="M785" s="194"/>
      <c r="N785" s="194"/>
      <c r="O785" s="194"/>
      <c r="P785" s="194"/>
      <c r="Q785" s="194"/>
      <c r="R785" s="194"/>
      <c r="S785" s="194"/>
      <c r="T785" s="194"/>
      <c r="U785" s="194"/>
      <c r="V785" s="194"/>
      <c r="W785" s="194"/>
      <c r="X785" s="194"/>
      <c r="Y785" s="194"/>
      <c r="Z785" s="194"/>
      <c r="AA785" s="194"/>
      <c r="AB785" s="194"/>
      <c r="AC785" s="194"/>
      <c r="AD785" s="194"/>
      <c r="AE785" s="194"/>
      <c r="AF785" s="194"/>
      <c r="AG785" s="194"/>
      <c r="AH785" s="194"/>
      <c r="AI785" s="194"/>
      <c r="AJ785" s="194"/>
      <c r="AK785" s="194"/>
    </row>
    <row r="786" spans="3:37" ht="16.5">
      <c r="C786" s="195" t="s">
        <v>1129</v>
      </c>
      <c r="D786" s="195" t="s">
        <v>1215</v>
      </c>
      <c r="E786" s="195" t="s">
        <v>860</v>
      </c>
      <c r="F786" s="196" t="s">
        <v>1131</v>
      </c>
      <c r="G786" s="196" t="s">
        <v>1132</v>
      </c>
      <c r="H786" s="196" t="s">
        <v>1133</v>
      </c>
      <c r="I786" s="196" t="s">
        <v>1134</v>
      </c>
      <c r="J786" s="194"/>
      <c r="K786" s="194"/>
      <c r="L786" s="194"/>
      <c r="M786" s="194"/>
      <c r="N786" s="194"/>
      <c r="O786" s="194"/>
      <c r="P786" s="194"/>
      <c r="Q786" s="194"/>
      <c r="R786" s="194"/>
      <c r="S786" s="194"/>
      <c r="T786" s="194"/>
      <c r="U786" s="194"/>
      <c r="V786" s="194"/>
      <c r="W786" s="194"/>
      <c r="X786" s="194"/>
      <c r="Y786" s="194"/>
      <c r="Z786" s="194"/>
      <c r="AA786" s="194"/>
      <c r="AB786" s="194"/>
      <c r="AC786" s="194"/>
      <c r="AD786" s="194"/>
      <c r="AE786" s="194"/>
      <c r="AF786" s="194"/>
      <c r="AG786" s="194"/>
      <c r="AH786" s="194"/>
      <c r="AI786" s="194"/>
      <c r="AJ786" s="194"/>
      <c r="AK786" s="194"/>
    </row>
    <row r="787" spans="3:37">
      <c r="C787" s="1018" t="s">
        <v>623</v>
      </c>
      <c r="D787" s="1018" t="s">
        <v>340</v>
      </c>
      <c r="E787" s="196" t="s">
        <v>485</v>
      </c>
      <c r="F787" s="201">
        <v>8.4449999999999997E-2</v>
      </c>
      <c r="G787" s="201">
        <v>8.2409999999999997E-2</v>
      </c>
      <c r="H787" s="201">
        <v>1.74E-3</v>
      </c>
      <c r="I787" s="201">
        <v>2.9999999999999997E-4</v>
      </c>
      <c r="J787" s="194"/>
      <c r="K787" s="194"/>
      <c r="L787" s="194"/>
      <c r="M787" s="194"/>
      <c r="N787" s="194"/>
      <c r="O787" s="194"/>
      <c r="P787" s="194"/>
      <c r="Q787" s="194"/>
      <c r="R787" s="194"/>
      <c r="S787" s="194"/>
      <c r="T787" s="194"/>
      <c r="U787" s="194"/>
      <c r="V787" s="194"/>
      <c r="W787" s="194"/>
      <c r="X787" s="194"/>
      <c r="Y787" s="194"/>
      <c r="Z787" s="194"/>
      <c r="AA787" s="194"/>
      <c r="AB787" s="194"/>
      <c r="AC787" s="194"/>
      <c r="AD787" s="194"/>
      <c r="AE787" s="194"/>
      <c r="AF787" s="194"/>
      <c r="AG787" s="194"/>
      <c r="AH787" s="194"/>
      <c r="AI787" s="194"/>
      <c r="AJ787" s="194"/>
      <c r="AK787" s="194"/>
    </row>
    <row r="788" spans="3:37">
      <c r="C788" s="1018"/>
      <c r="D788" s="1018"/>
      <c r="E788" s="196" t="s">
        <v>1220</v>
      </c>
      <c r="F788" s="201">
        <v>0.13591</v>
      </c>
      <c r="G788" s="201">
        <v>0.13263</v>
      </c>
      <c r="H788" s="201">
        <v>2.8E-3</v>
      </c>
      <c r="I788" s="201">
        <v>4.8000000000000001E-4</v>
      </c>
      <c r="J788" s="194"/>
      <c r="K788" s="194"/>
      <c r="L788" s="194"/>
      <c r="M788" s="194"/>
      <c r="N788" s="194"/>
      <c r="O788" s="194"/>
      <c r="P788" s="194"/>
      <c r="Q788" s="194"/>
      <c r="R788" s="194"/>
      <c r="S788" s="194"/>
      <c r="T788" s="194"/>
      <c r="U788" s="194"/>
      <c r="V788" s="194"/>
      <c r="W788" s="194"/>
      <c r="X788" s="194"/>
      <c r="Y788" s="194"/>
      <c r="Z788" s="194"/>
      <c r="AA788" s="194"/>
      <c r="AB788" s="194"/>
      <c r="AC788" s="194"/>
      <c r="AD788" s="194"/>
      <c r="AE788" s="194"/>
      <c r="AF788" s="194"/>
      <c r="AG788" s="194"/>
      <c r="AH788" s="194"/>
      <c r="AI788" s="194"/>
      <c r="AJ788" s="194"/>
      <c r="AK788" s="194"/>
    </row>
    <row r="789" spans="3:37">
      <c r="C789" s="1018"/>
      <c r="D789" s="1018" t="s">
        <v>341</v>
      </c>
      <c r="E789" s="196" t="s">
        <v>485</v>
      </c>
      <c r="F789" s="201">
        <v>0.10289000000000001</v>
      </c>
      <c r="G789" s="201">
        <v>0.10004</v>
      </c>
      <c r="H789" s="201">
        <v>2.2499999999999998E-3</v>
      </c>
      <c r="I789" s="201">
        <v>5.9999999999999995E-4</v>
      </c>
      <c r="J789" s="194"/>
      <c r="K789" s="194"/>
      <c r="L789" s="194"/>
      <c r="M789" s="194"/>
      <c r="N789" s="194"/>
      <c r="O789" s="194"/>
      <c r="P789" s="194"/>
      <c r="Q789" s="194"/>
      <c r="R789" s="194"/>
      <c r="S789" s="194"/>
      <c r="T789" s="194"/>
      <c r="U789" s="194"/>
      <c r="V789" s="194"/>
      <c r="W789" s="194"/>
      <c r="X789" s="194"/>
      <c r="Y789" s="194"/>
      <c r="Z789" s="194"/>
      <c r="AA789" s="194"/>
      <c r="AB789" s="194"/>
      <c r="AC789" s="194"/>
      <c r="AD789" s="194"/>
      <c r="AE789" s="194"/>
      <c r="AF789" s="194"/>
      <c r="AG789" s="194"/>
      <c r="AH789" s="194"/>
      <c r="AI789" s="194"/>
      <c r="AJ789" s="194"/>
      <c r="AK789" s="194"/>
    </row>
    <row r="790" spans="3:37">
      <c r="C790" s="1018"/>
      <c r="D790" s="1018"/>
      <c r="E790" s="196" t="s">
        <v>1220</v>
      </c>
      <c r="F790" s="201">
        <v>0.16559000000000001</v>
      </c>
      <c r="G790" s="201">
        <v>0.161</v>
      </c>
      <c r="H790" s="201">
        <v>3.62E-3</v>
      </c>
      <c r="I790" s="201">
        <v>9.7000000000000005E-4</v>
      </c>
      <c r="J790" s="194"/>
      <c r="K790" s="194"/>
      <c r="L790" s="194"/>
      <c r="M790" s="194"/>
      <c r="N790" s="194"/>
      <c r="O790" s="194"/>
      <c r="P790" s="194"/>
      <c r="Q790" s="194"/>
      <c r="R790" s="194"/>
      <c r="S790" s="194"/>
      <c r="T790" s="194"/>
      <c r="U790" s="194"/>
      <c r="V790" s="194"/>
      <c r="W790" s="194"/>
      <c r="X790" s="194"/>
      <c r="Y790" s="194"/>
      <c r="Z790" s="194"/>
      <c r="AA790" s="194"/>
      <c r="AB790" s="194"/>
      <c r="AC790" s="194"/>
      <c r="AD790" s="194"/>
      <c r="AE790" s="194"/>
      <c r="AF790" s="194"/>
      <c r="AG790" s="194"/>
      <c r="AH790" s="194"/>
      <c r="AI790" s="194"/>
      <c r="AJ790" s="194"/>
      <c r="AK790" s="194"/>
    </row>
    <row r="791" spans="3:37">
      <c r="C791" s="1018"/>
      <c r="D791" s="1018" t="s">
        <v>1245</v>
      </c>
      <c r="E791" s="196" t="s">
        <v>485</v>
      </c>
      <c r="F791" s="201">
        <v>0.13500999999999999</v>
      </c>
      <c r="G791" s="201">
        <v>0.13308</v>
      </c>
      <c r="H791" s="201">
        <v>1.33E-3</v>
      </c>
      <c r="I791" s="201">
        <v>5.9999999999999995E-4</v>
      </c>
      <c r="J791" s="194"/>
      <c r="K791" s="194"/>
      <c r="L791" s="194"/>
      <c r="M791" s="194"/>
      <c r="N791" s="194"/>
      <c r="O791" s="194"/>
      <c r="P791" s="194"/>
      <c r="Q791" s="194"/>
      <c r="R791" s="194"/>
      <c r="S791" s="194"/>
      <c r="T791" s="194"/>
      <c r="U791" s="194"/>
      <c r="V791" s="194"/>
      <c r="W791" s="194"/>
      <c r="X791" s="194"/>
      <c r="Y791" s="194"/>
      <c r="Z791" s="194"/>
      <c r="AA791" s="194"/>
      <c r="AB791" s="194"/>
      <c r="AC791" s="194"/>
      <c r="AD791" s="194"/>
      <c r="AE791" s="194"/>
      <c r="AF791" s="194"/>
      <c r="AG791" s="194"/>
      <c r="AH791" s="194"/>
      <c r="AI791" s="194"/>
      <c r="AJ791" s="194"/>
      <c r="AK791" s="194"/>
    </row>
    <row r="792" spans="3:37">
      <c r="C792" s="1018"/>
      <c r="D792" s="1018"/>
      <c r="E792" s="196" t="s">
        <v>1220</v>
      </c>
      <c r="F792" s="201">
        <v>0.21729000000000001</v>
      </c>
      <c r="G792" s="201">
        <v>0.21418000000000001</v>
      </c>
      <c r="H792" s="201">
        <v>2.14E-3</v>
      </c>
      <c r="I792" s="201">
        <v>9.7000000000000005E-4</v>
      </c>
      <c r="J792" s="194"/>
      <c r="K792" s="194"/>
      <c r="L792" s="194"/>
      <c r="M792" s="194"/>
      <c r="N792" s="194"/>
      <c r="O792" s="194"/>
      <c r="P792" s="194"/>
      <c r="Q792" s="194"/>
      <c r="R792" s="194"/>
      <c r="S792" s="194"/>
      <c r="T792" s="194"/>
      <c r="U792" s="194"/>
      <c r="V792" s="194"/>
      <c r="W792" s="194"/>
      <c r="X792" s="194"/>
      <c r="Y792" s="194"/>
      <c r="Z792" s="194"/>
      <c r="AA792" s="194"/>
      <c r="AB792" s="194"/>
      <c r="AC792" s="194"/>
      <c r="AD792" s="194"/>
      <c r="AE792" s="194"/>
      <c r="AF792" s="194"/>
      <c r="AG792" s="194"/>
      <c r="AH792" s="194"/>
      <c r="AI792" s="194"/>
      <c r="AJ792" s="194"/>
      <c r="AK792" s="194"/>
    </row>
    <row r="793" spans="3:37">
      <c r="C793" s="1018"/>
      <c r="D793" s="1018" t="s">
        <v>1247</v>
      </c>
      <c r="E793" s="196" t="s">
        <v>485</v>
      </c>
      <c r="F793" s="201">
        <v>0.11551</v>
      </c>
      <c r="G793" s="201">
        <v>0.11314</v>
      </c>
      <c r="H793" s="201">
        <v>1.7799999999999999E-3</v>
      </c>
      <c r="I793" s="201">
        <v>5.9000000000000003E-4</v>
      </c>
      <c r="J793" s="194"/>
      <c r="K793" s="194"/>
      <c r="L793" s="194"/>
      <c r="M793" s="194"/>
      <c r="N793" s="194"/>
      <c r="O793" s="194"/>
      <c r="P793" s="194"/>
      <c r="Q793" s="194"/>
      <c r="R793" s="194"/>
      <c r="S793" s="194"/>
      <c r="T793" s="194"/>
      <c r="U793" s="194"/>
      <c r="V793" s="194"/>
      <c r="W793" s="194"/>
      <c r="X793" s="194"/>
      <c r="Y793" s="194"/>
      <c r="Z793" s="194"/>
      <c r="AA793" s="194"/>
      <c r="AB793" s="194"/>
      <c r="AC793" s="194"/>
      <c r="AD793" s="194"/>
      <c r="AE793" s="194"/>
      <c r="AF793" s="194"/>
      <c r="AG793" s="194"/>
      <c r="AH793" s="194"/>
      <c r="AI793" s="194"/>
      <c r="AJ793" s="194"/>
      <c r="AK793" s="194"/>
    </row>
    <row r="794" spans="3:37">
      <c r="C794" s="1018"/>
      <c r="D794" s="1018"/>
      <c r="E794" s="196" t="s">
        <v>1220</v>
      </c>
      <c r="F794" s="201">
        <v>0.18589</v>
      </c>
      <c r="G794" s="201">
        <v>0.18207999999999999</v>
      </c>
      <c r="H794" s="201">
        <v>2.8600000000000001E-3</v>
      </c>
      <c r="I794" s="201">
        <v>9.5E-4</v>
      </c>
      <c r="J794" s="194"/>
      <c r="K794" s="194"/>
      <c r="L794" s="194"/>
      <c r="M794" s="194"/>
      <c r="N794" s="194"/>
      <c r="O794" s="194"/>
      <c r="P794" s="194"/>
      <c r="Q794" s="194"/>
      <c r="R794" s="194"/>
      <c r="S794" s="194"/>
      <c r="T794" s="194"/>
      <c r="U794" s="194"/>
      <c r="V794" s="194"/>
      <c r="W794" s="194"/>
      <c r="X794" s="194"/>
      <c r="Y794" s="194"/>
      <c r="Z794" s="194"/>
      <c r="AA794" s="194"/>
      <c r="AB794" s="194"/>
      <c r="AC794" s="194"/>
      <c r="AD794" s="194"/>
      <c r="AE794" s="194"/>
      <c r="AF794" s="194"/>
      <c r="AG794" s="194"/>
      <c r="AH794" s="194"/>
      <c r="AI794" s="194"/>
      <c r="AJ794" s="194"/>
      <c r="AK794" s="194"/>
    </row>
    <row r="795" spans="3:37">
      <c r="C795" s="194"/>
      <c r="D795" s="194"/>
      <c r="E795" s="194"/>
      <c r="F795" s="194"/>
      <c r="G795" s="194"/>
      <c r="H795" s="194"/>
      <c r="I795" s="194"/>
      <c r="J795" s="194"/>
      <c r="K795" s="194"/>
      <c r="L795" s="194"/>
      <c r="M795" s="194"/>
      <c r="N795" s="194"/>
      <c r="O795" s="194"/>
      <c r="P795" s="194"/>
      <c r="Q795" s="194"/>
      <c r="R795" s="194"/>
      <c r="S795" s="194"/>
      <c r="T795" s="194"/>
      <c r="U795" s="194"/>
      <c r="V795" s="194"/>
      <c r="W795" s="194"/>
      <c r="X795" s="194"/>
      <c r="Y795" s="194"/>
      <c r="Z795" s="194"/>
      <c r="AA795" s="194"/>
      <c r="AB795" s="194"/>
      <c r="AC795" s="194"/>
      <c r="AD795" s="194"/>
      <c r="AE795" s="194"/>
      <c r="AF795" s="194"/>
      <c r="AG795" s="194"/>
      <c r="AH795" s="194"/>
      <c r="AI795" s="194"/>
      <c r="AJ795" s="194"/>
      <c r="AK795" s="194"/>
    </row>
    <row r="796" spans="3:37">
      <c r="C796" s="194"/>
      <c r="D796" s="194"/>
      <c r="E796" s="194"/>
      <c r="F796" s="194"/>
      <c r="G796" s="194"/>
      <c r="H796" s="194"/>
      <c r="I796" s="194"/>
      <c r="J796" s="194"/>
      <c r="K796" s="194"/>
      <c r="L796" s="194"/>
      <c r="M796" s="194"/>
      <c r="N796" s="194"/>
      <c r="O796" s="194"/>
      <c r="P796" s="194"/>
      <c r="Q796" s="194"/>
      <c r="R796" s="194"/>
      <c r="S796" s="194"/>
      <c r="T796" s="194"/>
      <c r="U796" s="194"/>
      <c r="V796" s="194"/>
      <c r="W796" s="194"/>
      <c r="X796" s="194"/>
      <c r="Y796" s="194"/>
      <c r="Z796" s="194"/>
      <c r="AA796" s="194"/>
      <c r="AB796" s="194"/>
      <c r="AC796" s="194"/>
      <c r="AD796" s="194"/>
      <c r="AE796" s="194"/>
      <c r="AF796" s="194"/>
      <c r="AG796" s="194"/>
      <c r="AH796" s="194"/>
      <c r="AI796" s="194"/>
      <c r="AJ796" s="194"/>
      <c r="AK796" s="194"/>
    </row>
    <row r="797" spans="3:37">
      <c r="C797" s="194"/>
      <c r="D797" s="194"/>
      <c r="E797" s="194"/>
      <c r="F797" s="194"/>
      <c r="G797" s="194"/>
      <c r="H797" s="194"/>
      <c r="I797" s="194"/>
      <c r="J797" s="194"/>
      <c r="K797" s="194"/>
      <c r="L797" s="194"/>
      <c r="M797" s="194"/>
      <c r="N797" s="194"/>
      <c r="O797" s="194"/>
      <c r="P797" s="194"/>
      <c r="Q797" s="194"/>
      <c r="R797" s="194"/>
      <c r="S797" s="194"/>
      <c r="T797" s="194"/>
      <c r="U797" s="194"/>
      <c r="V797" s="194"/>
      <c r="W797" s="194"/>
      <c r="X797" s="194"/>
      <c r="Y797" s="194"/>
      <c r="Z797" s="194"/>
      <c r="AA797" s="194"/>
      <c r="AB797" s="194"/>
      <c r="AC797" s="194"/>
      <c r="AD797" s="194"/>
      <c r="AE797" s="194"/>
      <c r="AF797" s="194"/>
      <c r="AG797" s="194"/>
      <c r="AH797" s="194"/>
      <c r="AI797" s="194"/>
      <c r="AJ797" s="194"/>
      <c r="AK797" s="194"/>
    </row>
    <row r="798" spans="3:37" ht="16.5">
      <c r="C798" s="195" t="s">
        <v>1129</v>
      </c>
      <c r="D798" s="195" t="s">
        <v>1215</v>
      </c>
      <c r="E798" s="195" t="s">
        <v>860</v>
      </c>
      <c r="F798" s="196" t="s">
        <v>1131</v>
      </c>
      <c r="G798" s="196" t="s">
        <v>1132</v>
      </c>
      <c r="H798" s="196" t="s">
        <v>1133</v>
      </c>
      <c r="I798" s="196" t="s">
        <v>1134</v>
      </c>
      <c r="J798" s="194"/>
      <c r="K798" s="194"/>
      <c r="L798" s="194"/>
      <c r="M798" s="194"/>
      <c r="N798" s="194"/>
      <c r="O798" s="194"/>
      <c r="P798" s="194"/>
      <c r="Q798" s="194"/>
      <c r="R798" s="194"/>
      <c r="S798" s="194"/>
      <c r="T798" s="194"/>
      <c r="U798" s="194"/>
      <c r="V798" s="194"/>
      <c r="W798" s="194"/>
      <c r="X798" s="194"/>
      <c r="Y798" s="194"/>
      <c r="Z798" s="194"/>
      <c r="AA798" s="194"/>
      <c r="AB798" s="194"/>
      <c r="AC798" s="194"/>
      <c r="AD798" s="194"/>
      <c r="AE798" s="194"/>
      <c r="AF798" s="194"/>
      <c r="AG798" s="194"/>
      <c r="AH798" s="194"/>
      <c r="AI798" s="194"/>
      <c r="AJ798" s="194"/>
      <c r="AK798" s="194"/>
    </row>
    <row r="799" spans="3:37">
      <c r="C799" s="1018" t="s">
        <v>1275</v>
      </c>
      <c r="D799" s="1018" t="s">
        <v>1276</v>
      </c>
      <c r="E799" s="196" t="s">
        <v>1257</v>
      </c>
      <c r="F799" s="199">
        <v>0.15018000000000001</v>
      </c>
      <c r="G799" s="199">
        <v>0.14885999999999999</v>
      </c>
      <c r="H799" s="199">
        <v>3.0800000000000002E-6</v>
      </c>
      <c r="I799" s="199">
        <v>1.32E-3</v>
      </c>
      <c r="J799" s="194"/>
      <c r="K799" s="194"/>
      <c r="L799" s="194"/>
      <c r="M799" s="194"/>
      <c r="N799" s="194"/>
      <c r="O799" s="194"/>
      <c r="P799" s="194"/>
      <c r="Q799" s="194"/>
      <c r="R799" s="194"/>
      <c r="S799" s="194"/>
      <c r="T799" s="194"/>
      <c r="U799" s="194"/>
      <c r="V799" s="194"/>
      <c r="W799" s="194"/>
      <c r="X799" s="194"/>
      <c r="Y799" s="194"/>
      <c r="Z799" s="194"/>
      <c r="AA799" s="194"/>
      <c r="AB799" s="194"/>
      <c r="AC799" s="194"/>
      <c r="AD799" s="194"/>
      <c r="AE799" s="194"/>
      <c r="AF799" s="194"/>
      <c r="AG799" s="194"/>
      <c r="AH799" s="194"/>
      <c r="AI799" s="194"/>
      <c r="AJ799" s="194"/>
      <c r="AK799" s="194"/>
    </row>
    <row r="800" spans="3:37">
      <c r="C800" s="1018"/>
      <c r="D800" s="1018"/>
      <c r="E800" s="196" t="s">
        <v>485</v>
      </c>
      <c r="F800" s="199">
        <v>0.21024000000000001</v>
      </c>
      <c r="G800" s="199">
        <v>0.2084</v>
      </c>
      <c r="H800" s="199">
        <v>4.3200000000000001E-6</v>
      </c>
      <c r="I800" s="199">
        <v>1.8400000000000001E-3</v>
      </c>
      <c r="J800" s="194"/>
      <c r="K800" s="194"/>
      <c r="L800" s="194"/>
      <c r="M800" s="194"/>
      <c r="N800" s="194"/>
      <c r="O800" s="194"/>
      <c r="P800" s="194"/>
      <c r="Q800" s="194"/>
      <c r="R800" s="194"/>
      <c r="S800" s="194"/>
      <c r="T800" s="194"/>
      <c r="U800" s="194"/>
      <c r="V800" s="194"/>
      <c r="W800" s="194"/>
      <c r="X800" s="194"/>
      <c r="Y800" s="194"/>
      <c r="Z800" s="194"/>
      <c r="AA800" s="194"/>
      <c r="AB800" s="194"/>
      <c r="AC800" s="194"/>
      <c r="AD800" s="194"/>
      <c r="AE800" s="194"/>
      <c r="AF800" s="194"/>
      <c r="AG800" s="194"/>
      <c r="AH800" s="194"/>
      <c r="AI800" s="194"/>
      <c r="AJ800" s="194"/>
      <c r="AK800" s="194"/>
    </row>
    <row r="801" spans="3:37">
      <c r="C801" s="1018"/>
      <c r="D801" s="1018" t="s">
        <v>1277</v>
      </c>
      <c r="E801" s="196" t="s">
        <v>1257</v>
      </c>
      <c r="F801" s="199">
        <v>0.21176</v>
      </c>
      <c r="G801" s="199">
        <v>0.21052999999999999</v>
      </c>
      <c r="H801" s="199">
        <v>2.88E-6</v>
      </c>
      <c r="I801" s="199">
        <v>1.23E-3</v>
      </c>
      <c r="J801" s="194"/>
      <c r="K801" s="194"/>
      <c r="L801" s="194"/>
      <c r="M801" s="194"/>
      <c r="N801" s="194"/>
      <c r="O801" s="194"/>
      <c r="P801" s="194"/>
      <c r="Q801" s="194"/>
      <c r="R801" s="194"/>
      <c r="S801" s="194"/>
      <c r="T801" s="194"/>
      <c r="U801" s="194"/>
      <c r="V801" s="194"/>
      <c r="W801" s="194"/>
      <c r="X801" s="194"/>
      <c r="Y801" s="194"/>
      <c r="Z801" s="194"/>
      <c r="AA801" s="194"/>
      <c r="AB801" s="194"/>
      <c r="AC801" s="194"/>
      <c r="AD801" s="194"/>
      <c r="AE801" s="194"/>
      <c r="AF801" s="194"/>
      <c r="AG801" s="194"/>
      <c r="AH801" s="194"/>
      <c r="AI801" s="194"/>
      <c r="AJ801" s="194"/>
      <c r="AK801" s="194"/>
    </row>
    <row r="802" spans="3:37">
      <c r="C802" s="1018"/>
      <c r="D802" s="1018"/>
      <c r="E802" s="196" t="s">
        <v>485</v>
      </c>
      <c r="F802" s="199">
        <v>0.31763999999999998</v>
      </c>
      <c r="G802" s="199">
        <v>0.31580000000000003</v>
      </c>
      <c r="H802" s="199">
        <v>4.3200000000000001E-6</v>
      </c>
      <c r="I802" s="199">
        <v>1.8400000000000001E-3</v>
      </c>
      <c r="J802" s="194"/>
      <c r="K802" s="194"/>
      <c r="L802" s="194"/>
      <c r="M802" s="194"/>
      <c r="N802" s="194"/>
      <c r="O802" s="194"/>
      <c r="P802" s="194"/>
      <c r="Q802" s="194"/>
      <c r="R802" s="194"/>
      <c r="S802" s="194"/>
      <c r="T802" s="194"/>
      <c r="U802" s="194"/>
      <c r="V802" s="194"/>
      <c r="W802" s="194"/>
      <c r="X802" s="194"/>
      <c r="Y802" s="194"/>
      <c r="Z802" s="194"/>
      <c r="AA802" s="194"/>
      <c r="AB802" s="194"/>
      <c r="AC802" s="194"/>
      <c r="AD802" s="194"/>
      <c r="AE802" s="194"/>
      <c r="AF802" s="194"/>
      <c r="AG802" s="194"/>
      <c r="AH802" s="194"/>
      <c r="AI802" s="194"/>
      <c r="AJ802" s="194"/>
      <c r="AK802" s="194"/>
    </row>
    <row r="803" spans="3:37">
      <c r="C803" s="194"/>
      <c r="D803" s="194"/>
      <c r="E803" s="194"/>
      <c r="F803" s="194"/>
      <c r="G803" s="194"/>
      <c r="H803" s="194"/>
      <c r="I803" s="194"/>
      <c r="J803" s="194"/>
      <c r="K803" s="194"/>
      <c r="L803" s="194"/>
      <c r="M803" s="194"/>
      <c r="N803" s="194"/>
      <c r="O803" s="194"/>
      <c r="P803" s="194"/>
      <c r="Q803" s="194"/>
      <c r="R803" s="194"/>
      <c r="S803" s="194"/>
      <c r="T803" s="194"/>
      <c r="U803" s="194"/>
      <c r="V803" s="194"/>
      <c r="W803" s="194"/>
      <c r="X803" s="194"/>
      <c r="Y803" s="194"/>
      <c r="Z803" s="194"/>
      <c r="AA803" s="194"/>
      <c r="AB803" s="194"/>
      <c r="AC803" s="194"/>
      <c r="AD803" s="194"/>
      <c r="AE803" s="194"/>
      <c r="AF803" s="194"/>
      <c r="AG803" s="194"/>
      <c r="AH803" s="194"/>
      <c r="AI803" s="194"/>
      <c r="AJ803" s="194"/>
      <c r="AK803" s="194"/>
    </row>
    <row r="804" spans="3:37">
      <c r="C804" s="194"/>
      <c r="D804" s="194"/>
      <c r="E804" s="194"/>
      <c r="F804" s="194"/>
      <c r="G804" s="194"/>
      <c r="H804" s="194"/>
      <c r="I804" s="194"/>
      <c r="J804" s="194"/>
      <c r="K804" s="194"/>
      <c r="L804" s="194"/>
      <c r="M804" s="194"/>
      <c r="N804" s="194"/>
      <c r="O804" s="194"/>
      <c r="P804" s="194"/>
      <c r="Q804" s="194"/>
      <c r="R804" s="194"/>
      <c r="S804" s="194"/>
      <c r="T804" s="194"/>
      <c r="U804" s="194"/>
      <c r="V804" s="194"/>
      <c r="W804" s="194"/>
      <c r="X804" s="194"/>
      <c r="Y804" s="194"/>
      <c r="Z804" s="194"/>
      <c r="AA804" s="194"/>
      <c r="AB804" s="194"/>
      <c r="AC804" s="194"/>
      <c r="AD804" s="194"/>
      <c r="AE804" s="194"/>
      <c r="AF804" s="194"/>
      <c r="AG804" s="194"/>
      <c r="AH804" s="194"/>
      <c r="AI804" s="194"/>
      <c r="AJ804" s="194"/>
      <c r="AK804" s="194"/>
    </row>
    <row r="805" spans="3:37">
      <c r="C805" s="194"/>
      <c r="D805" s="194"/>
      <c r="E805" s="194"/>
      <c r="F805" s="194"/>
      <c r="G805" s="194"/>
      <c r="H805" s="194"/>
      <c r="I805" s="194"/>
      <c r="J805" s="194"/>
      <c r="K805" s="194"/>
      <c r="L805" s="194"/>
      <c r="M805" s="194"/>
      <c r="N805" s="194"/>
      <c r="O805" s="194"/>
      <c r="P805" s="194"/>
      <c r="Q805" s="194"/>
      <c r="R805" s="194"/>
      <c r="S805" s="194"/>
      <c r="T805" s="194"/>
      <c r="U805" s="194"/>
      <c r="V805" s="194"/>
      <c r="W805" s="194"/>
      <c r="X805" s="194"/>
      <c r="Y805" s="194"/>
      <c r="Z805" s="194"/>
      <c r="AA805" s="194"/>
      <c r="AB805" s="194"/>
      <c r="AC805" s="194"/>
      <c r="AD805" s="194"/>
      <c r="AE805" s="194"/>
      <c r="AF805" s="194"/>
      <c r="AG805" s="194"/>
      <c r="AH805" s="194"/>
      <c r="AI805" s="194"/>
      <c r="AJ805" s="194"/>
      <c r="AK805" s="194"/>
    </row>
    <row r="806" spans="3:37" ht="16.5">
      <c r="C806" s="195" t="s">
        <v>1129</v>
      </c>
      <c r="D806" s="195" t="s">
        <v>1215</v>
      </c>
      <c r="E806" s="195" t="s">
        <v>860</v>
      </c>
      <c r="F806" s="196" t="s">
        <v>1131</v>
      </c>
      <c r="G806" s="196" t="s">
        <v>1132</v>
      </c>
      <c r="H806" s="196" t="s">
        <v>1133</v>
      </c>
      <c r="I806" s="196" t="s">
        <v>1134</v>
      </c>
      <c r="J806" s="194"/>
      <c r="K806" s="194"/>
      <c r="L806" s="194"/>
      <c r="M806" s="194"/>
      <c r="N806" s="194"/>
      <c r="O806" s="194"/>
      <c r="P806" s="194"/>
      <c r="Q806" s="194"/>
      <c r="R806" s="194"/>
      <c r="S806" s="194"/>
      <c r="T806" s="194"/>
      <c r="U806" s="194"/>
      <c r="V806" s="194"/>
      <c r="W806" s="194"/>
      <c r="X806" s="194"/>
      <c r="Y806" s="194"/>
      <c r="Z806" s="194"/>
      <c r="AA806" s="194"/>
      <c r="AB806" s="194"/>
      <c r="AC806" s="194"/>
      <c r="AD806" s="194"/>
      <c r="AE806" s="194"/>
      <c r="AF806" s="194"/>
      <c r="AG806" s="194"/>
      <c r="AH806" s="194"/>
      <c r="AI806" s="194"/>
      <c r="AJ806" s="194"/>
      <c r="AK806" s="194"/>
    </row>
    <row r="807" spans="3:37">
      <c r="C807" s="1018" t="s">
        <v>476</v>
      </c>
      <c r="D807" s="196" t="s">
        <v>1278</v>
      </c>
      <c r="E807" s="196" t="s">
        <v>1257</v>
      </c>
      <c r="F807" s="201">
        <v>0.12076000000000001</v>
      </c>
      <c r="G807" s="201">
        <v>0.11974</v>
      </c>
      <c r="H807" s="201">
        <v>3.0000000000000001E-5</v>
      </c>
      <c r="I807" s="201">
        <v>9.8999999999999999E-4</v>
      </c>
      <c r="J807" s="194"/>
      <c r="K807" s="194"/>
      <c r="L807" s="194"/>
      <c r="M807" s="194"/>
      <c r="N807" s="194"/>
      <c r="O807" s="194"/>
      <c r="P807" s="194"/>
      <c r="Q807" s="194"/>
      <c r="R807" s="194"/>
      <c r="S807" s="194"/>
      <c r="T807" s="194"/>
      <c r="U807" s="194"/>
      <c r="V807" s="194"/>
      <c r="W807" s="194"/>
      <c r="X807" s="194"/>
      <c r="Y807" s="194"/>
      <c r="Z807" s="194"/>
      <c r="AA807" s="194"/>
      <c r="AB807" s="194"/>
      <c r="AC807" s="194"/>
      <c r="AD807" s="194"/>
      <c r="AE807" s="194"/>
      <c r="AF807" s="194"/>
      <c r="AG807" s="194"/>
      <c r="AH807" s="194"/>
      <c r="AI807" s="194"/>
      <c r="AJ807" s="194"/>
      <c r="AK807" s="194"/>
    </row>
    <row r="808" spans="3:37">
      <c r="C808" s="1018"/>
      <c r="D808" s="196" t="s">
        <v>1279</v>
      </c>
      <c r="E808" s="196" t="s">
        <v>1257</v>
      </c>
      <c r="F808" s="201">
        <v>8.2079999999999986E-2</v>
      </c>
      <c r="G808" s="201">
        <v>8.1629999999999994E-2</v>
      </c>
      <c r="H808" s="201">
        <v>1.0000000000000001E-5</v>
      </c>
      <c r="I808" s="201">
        <v>4.4000000000000002E-4</v>
      </c>
      <c r="J808" s="194"/>
      <c r="K808" s="194"/>
      <c r="L808" s="194"/>
      <c r="M808" s="194"/>
      <c r="N808" s="194"/>
      <c r="O808" s="194"/>
      <c r="P808" s="194"/>
      <c r="Q808" s="194"/>
      <c r="R808" s="194"/>
      <c r="S808" s="194"/>
      <c r="T808" s="194"/>
      <c r="U808" s="194"/>
      <c r="V808" s="194"/>
      <c r="W808" s="194"/>
      <c r="X808" s="194"/>
      <c r="Y808" s="194"/>
      <c r="Z808" s="194"/>
      <c r="AA808" s="194"/>
      <c r="AB808" s="194"/>
      <c r="AC808" s="194"/>
      <c r="AD808" s="194"/>
      <c r="AE808" s="194"/>
      <c r="AF808" s="194"/>
      <c r="AG808" s="194"/>
      <c r="AH808" s="194"/>
      <c r="AI808" s="194"/>
      <c r="AJ808" s="194"/>
      <c r="AK808" s="194"/>
    </row>
    <row r="809" spans="3:37">
      <c r="C809" s="1018"/>
      <c r="D809" s="196" t="s">
        <v>1280</v>
      </c>
      <c r="E809" s="196" t="s">
        <v>1257</v>
      </c>
      <c r="F809" s="201">
        <v>0.10471000000000001</v>
      </c>
      <c r="G809" s="201">
        <v>0.10391</v>
      </c>
      <c r="H809" s="201">
        <v>3.0000000000000001E-5</v>
      </c>
      <c r="I809" s="201">
        <v>7.6999999999999996E-4</v>
      </c>
      <c r="J809" s="194"/>
      <c r="K809" s="194"/>
      <c r="L809" s="194"/>
      <c r="M809" s="194"/>
      <c r="N809" s="194"/>
      <c r="O809" s="194"/>
      <c r="P809" s="194"/>
      <c r="Q809" s="194"/>
      <c r="R809" s="194"/>
      <c r="S809" s="194"/>
      <c r="T809" s="194"/>
      <c r="U809" s="194"/>
      <c r="V809" s="194"/>
      <c r="W809" s="194"/>
      <c r="X809" s="194"/>
      <c r="Y809" s="194"/>
      <c r="Z809" s="194"/>
      <c r="AA809" s="194"/>
      <c r="AB809" s="194"/>
      <c r="AC809" s="194"/>
      <c r="AD809" s="194"/>
      <c r="AE809" s="194"/>
      <c r="AF809" s="194"/>
      <c r="AG809" s="194"/>
      <c r="AH809" s="194"/>
      <c r="AI809" s="194"/>
      <c r="AJ809" s="194"/>
      <c r="AK809" s="194"/>
    </row>
    <row r="810" spans="3:37">
      <c r="C810" s="1018"/>
      <c r="D810" s="196" t="s">
        <v>1281</v>
      </c>
      <c r="E810" s="196" t="s">
        <v>1257</v>
      </c>
      <c r="F810" s="201">
        <v>2.7789999999999999E-2</v>
      </c>
      <c r="G810" s="201">
        <v>2.7279999999999999E-2</v>
      </c>
      <c r="H810" s="201">
        <v>2.0000000000000002E-5</v>
      </c>
      <c r="I810" s="201">
        <v>4.8999999999999998E-4</v>
      </c>
      <c r="J810" s="194"/>
      <c r="K810" s="194"/>
      <c r="L810" s="194"/>
      <c r="M810" s="194"/>
      <c r="N810" s="194"/>
      <c r="O810" s="194"/>
      <c r="P810" s="194"/>
      <c r="Q810" s="194"/>
      <c r="R810" s="194"/>
      <c r="S810" s="194"/>
      <c r="T810" s="194"/>
      <c r="U810" s="194"/>
      <c r="V810" s="194"/>
      <c r="W810" s="194"/>
      <c r="X810" s="194"/>
      <c r="Y810" s="194"/>
      <c r="Z810" s="194"/>
      <c r="AA810" s="194"/>
      <c r="AB810" s="194"/>
      <c r="AC810" s="194"/>
      <c r="AD810" s="194"/>
      <c r="AE810" s="194"/>
      <c r="AF810" s="194"/>
      <c r="AG810" s="194"/>
      <c r="AH810" s="194"/>
      <c r="AI810" s="194"/>
      <c r="AJ810" s="194"/>
      <c r="AK810" s="194"/>
    </row>
    <row r="811" spans="3:37">
      <c r="C811" s="194"/>
      <c r="D811" s="194"/>
      <c r="E811" s="194"/>
      <c r="F811" s="194"/>
      <c r="G811" s="194"/>
      <c r="H811" s="194"/>
      <c r="I811" s="194"/>
      <c r="J811" s="194"/>
      <c r="K811" s="194"/>
      <c r="L811" s="194"/>
      <c r="M811" s="194"/>
      <c r="N811" s="194"/>
      <c r="O811" s="194"/>
      <c r="P811" s="194"/>
      <c r="Q811" s="194"/>
      <c r="R811" s="194"/>
      <c r="S811" s="194"/>
      <c r="T811" s="194"/>
      <c r="U811" s="194"/>
      <c r="V811" s="194"/>
      <c r="W811" s="194"/>
      <c r="X811" s="194"/>
      <c r="Y811" s="194"/>
      <c r="Z811" s="194"/>
      <c r="AA811" s="194"/>
      <c r="AB811" s="194"/>
      <c r="AC811" s="194"/>
      <c r="AD811" s="194"/>
      <c r="AE811" s="194"/>
      <c r="AF811" s="194"/>
      <c r="AG811" s="194"/>
      <c r="AH811" s="194"/>
      <c r="AI811" s="194"/>
      <c r="AJ811" s="194"/>
      <c r="AK811" s="194"/>
    </row>
    <row r="812" spans="3:37">
      <c r="C812" s="194"/>
      <c r="D812" s="194"/>
      <c r="E812" s="194"/>
      <c r="F812" s="194"/>
      <c r="G812" s="194"/>
      <c r="H812" s="194"/>
      <c r="I812" s="194"/>
      <c r="J812" s="194"/>
      <c r="K812" s="194"/>
      <c r="L812" s="194"/>
      <c r="M812" s="194"/>
      <c r="N812" s="194"/>
      <c r="O812" s="194"/>
      <c r="P812" s="194"/>
      <c r="Q812" s="194"/>
      <c r="R812" s="194"/>
      <c r="S812" s="194"/>
      <c r="T812" s="194"/>
      <c r="U812" s="194"/>
      <c r="V812" s="194"/>
      <c r="W812" s="194"/>
      <c r="X812" s="194"/>
      <c r="Y812" s="194"/>
      <c r="Z812" s="194"/>
      <c r="AA812" s="194"/>
      <c r="AB812" s="194"/>
      <c r="AC812" s="194"/>
      <c r="AD812" s="194"/>
      <c r="AE812" s="194"/>
      <c r="AF812" s="194"/>
      <c r="AG812" s="194"/>
      <c r="AH812" s="194"/>
      <c r="AI812" s="194"/>
      <c r="AJ812" s="194"/>
      <c r="AK812" s="194"/>
    </row>
    <row r="813" spans="3:37">
      <c r="C813" s="194"/>
      <c r="D813" s="194"/>
      <c r="E813" s="194"/>
      <c r="F813" s="194"/>
      <c r="G813" s="194"/>
      <c r="H813" s="194"/>
      <c r="I813" s="194"/>
      <c r="J813" s="194"/>
      <c r="K813" s="194"/>
      <c r="L813" s="194"/>
      <c r="M813" s="194"/>
      <c r="N813" s="194"/>
      <c r="O813" s="194"/>
      <c r="P813" s="194"/>
      <c r="Q813" s="194"/>
      <c r="R813" s="194"/>
      <c r="S813" s="194"/>
      <c r="T813" s="194"/>
      <c r="U813" s="194"/>
      <c r="V813" s="194"/>
      <c r="W813" s="194"/>
      <c r="X813" s="194"/>
      <c r="Y813" s="194"/>
      <c r="Z813" s="194"/>
      <c r="AA813" s="194"/>
      <c r="AB813" s="194"/>
      <c r="AC813" s="194"/>
      <c r="AD813" s="194"/>
      <c r="AE813" s="194"/>
      <c r="AF813" s="194"/>
      <c r="AG813" s="194"/>
      <c r="AH813" s="194"/>
      <c r="AI813" s="194"/>
      <c r="AJ813" s="194"/>
      <c r="AK813" s="194"/>
    </row>
    <row r="814" spans="3:37" ht="16.5">
      <c r="C814" s="195" t="s">
        <v>1129</v>
      </c>
      <c r="D814" s="195" t="s">
        <v>1215</v>
      </c>
      <c r="E814" s="195" t="s">
        <v>860</v>
      </c>
      <c r="F814" s="196" t="s">
        <v>1131</v>
      </c>
      <c r="G814" s="196" t="s">
        <v>1132</v>
      </c>
      <c r="H814" s="196" t="s">
        <v>1133</v>
      </c>
      <c r="I814" s="196" t="s">
        <v>1134</v>
      </c>
      <c r="J814" s="194"/>
      <c r="K814" s="194"/>
      <c r="L814" s="194"/>
      <c r="M814" s="194"/>
      <c r="N814" s="194"/>
      <c r="O814" s="194"/>
      <c r="P814" s="194"/>
      <c r="Q814" s="194"/>
      <c r="R814" s="194"/>
      <c r="S814" s="194"/>
      <c r="T814" s="194"/>
      <c r="U814" s="194"/>
      <c r="V814" s="194"/>
      <c r="W814" s="194"/>
      <c r="X814" s="194"/>
      <c r="Y814" s="194"/>
      <c r="Z814" s="194"/>
      <c r="AA814" s="194"/>
      <c r="AB814" s="194"/>
      <c r="AC814" s="194"/>
      <c r="AD814" s="194"/>
      <c r="AE814" s="194"/>
      <c r="AF814" s="194"/>
      <c r="AG814" s="194"/>
      <c r="AH814" s="194"/>
      <c r="AI814" s="194"/>
      <c r="AJ814" s="194"/>
      <c r="AK814" s="194"/>
    </row>
    <row r="815" spans="3:37">
      <c r="C815" s="1018" t="s">
        <v>490</v>
      </c>
      <c r="D815" s="196" t="s">
        <v>639</v>
      </c>
      <c r="E815" s="196" t="s">
        <v>1257</v>
      </c>
      <c r="F815" s="199">
        <v>4.1149999999999999E-2</v>
      </c>
      <c r="G815" s="199">
        <v>4.0770000000000001E-2</v>
      </c>
      <c r="H815" s="199">
        <v>6.9999999999999994E-5</v>
      </c>
      <c r="I815" s="199">
        <v>3.1E-4</v>
      </c>
      <c r="J815" s="194"/>
      <c r="K815" s="194"/>
      <c r="L815" s="194"/>
      <c r="M815" s="194"/>
      <c r="N815" s="194"/>
      <c r="O815" s="194"/>
      <c r="P815" s="194"/>
      <c r="Q815" s="194"/>
      <c r="R815" s="194"/>
      <c r="S815" s="194"/>
      <c r="T815" s="194"/>
      <c r="U815" s="194"/>
      <c r="V815" s="194"/>
      <c r="W815" s="194"/>
      <c r="X815" s="194"/>
      <c r="Y815" s="194"/>
      <c r="Z815" s="194"/>
      <c r="AA815" s="194"/>
      <c r="AB815" s="194"/>
      <c r="AC815" s="194"/>
      <c r="AD815" s="194"/>
      <c r="AE815" s="194"/>
      <c r="AF815" s="194"/>
      <c r="AG815" s="194"/>
      <c r="AH815" s="194"/>
      <c r="AI815" s="194"/>
      <c r="AJ815" s="194"/>
      <c r="AK815" s="194"/>
    </row>
    <row r="816" spans="3:37">
      <c r="C816" s="1018"/>
      <c r="D816" s="196" t="s">
        <v>643</v>
      </c>
      <c r="E816" s="196" t="s">
        <v>1257</v>
      </c>
      <c r="F816" s="199">
        <v>5.9699999999999996E-3</v>
      </c>
      <c r="G816" s="199">
        <v>5.9199999999999999E-3</v>
      </c>
      <c r="H816" s="199">
        <v>2.0000000000000002E-5</v>
      </c>
      <c r="I816" s="199">
        <v>3.0000000000000001E-5</v>
      </c>
      <c r="J816" s="194"/>
      <c r="K816" s="194"/>
      <c r="L816" s="194"/>
      <c r="M816" s="194"/>
      <c r="N816" s="194"/>
      <c r="O816" s="194"/>
      <c r="P816" s="194"/>
      <c r="Q816" s="194"/>
      <c r="R816" s="194"/>
      <c r="S816" s="194"/>
      <c r="T816" s="194"/>
      <c r="U816" s="194"/>
      <c r="V816" s="194"/>
      <c r="W816" s="194"/>
      <c r="X816" s="194"/>
      <c r="Y816" s="194"/>
      <c r="Z816" s="194"/>
      <c r="AA816" s="194"/>
      <c r="AB816" s="194"/>
      <c r="AC816" s="194"/>
      <c r="AD816" s="194"/>
      <c r="AE816" s="194"/>
      <c r="AF816" s="194"/>
      <c r="AG816" s="194"/>
      <c r="AH816" s="194"/>
      <c r="AI816" s="194"/>
      <c r="AJ816" s="194"/>
      <c r="AK816" s="194"/>
    </row>
    <row r="817" spans="3:37">
      <c r="C817" s="1018"/>
      <c r="D817" s="196" t="s">
        <v>649</v>
      </c>
      <c r="E817" s="196" t="s">
        <v>1257</v>
      </c>
      <c r="F817" s="199">
        <v>3.508E-2</v>
      </c>
      <c r="G817" s="199">
        <v>3.4799999999999998E-2</v>
      </c>
      <c r="H817" s="199">
        <v>9.0000000000000006E-5</v>
      </c>
      <c r="I817" s="199">
        <v>1.9000000000000001E-4</v>
      </c>
      <c r="J817" s="194"/>
      <c r="K817" s="194"/>
      <c r="L817" s="194"/>
      <c r="M817" s="194"/>
      <c r="N817" s="194"/>
      <c r="O817" s="194"/>
      <c r="P817" s="194"/>
      <c r="Q817" s="194"/>
      <c r="R817" s="194"/>
      <c r="S817" s="194"/>
      <c r="T817" s="194"/>
      <c r="U817" s="194"/>
      <c r="V817" s="194"/>
      <c r="W817" s="194"/>
      <c r="X817" s="194"/>
      <c r="Y817" s="194"/>
      <c r="Z817" s="194"/>
      <c r="AA817" s="194"/>
      <c r="AB817" s="194"/>
      <c r="AC817" s="194"/>
      <c r="AD817" s="194"/>
      <c r="AE817" s="194"/>
      <c r="AF817" s="194"/>
      <c r="AG817" s="194"/>
      <c r="AH817" s="194"/>
      <c r="AI817" s="194"/>
      <c r="AJ817" s="194"/>
      <c r="AK817" s="194"/>
    </row>
    <row r="818" spans="3:37">
      <c r="C818" s="1018"/>
      <c r="D818" s="196" t="s">
        <v>1282</v>
      </c>
      <c r="E818" s="196" t="s">
        <v>1257</v>
      </c>
      <c r="F818" s="199">
        <v>3.0839999999999999E-2</v>
      </c>
      <c r="G818" s="199">
        <v>3.0589999999999999E-2</v>
      </c>
      <c r="H818" s="199">
        <v>8.0000000000000007E-5</v>
      </c>
      <c r="I818" s="199">
        <v>1.7000000000000001E-4</v>
      </c>
      <c r="J818" s="194"/>
      <c r="K818" s="194"/>
      <c r="L818" s="194"/>
      <c r="M818" s="194"/>
      <c r="N818" s="194"/>
      <c r="O818" s="194"/>
      <c r="P818" s="194"/>
      <c r="Q818" s="194"/>
      <c r="R818" s="194"/>
      <c r="S818" s="194"/>
      <c r="T818" s="194"/>
      <c r="U818" s="194"/>
      <c r="V818" s="194"/>
      <c r="W818" s="194"/>
      <c r="X818" s="194"/>
      <c r="Y818" s="194"/>
      <c r="Z818" s="194"/>
      <c r="AA818" s="194"/>
      <c r="AB818" s="194"/>
      <c r="AC818" s="194"/>
      <c r="AD818" s="194"/>
      <c r="AE818" s="194"/>
      <c r="AF818" s="194"/>
      <c r="AG818" s="194"/>
      <c r="AH818" s="194"/>
      <c r="AI818" s="194"/>
      <c r="AJ818" s="194"/>
      <c r="AK818" s="194"/>
    </row>
    <row r="822" spans="3:37">
      <c r="C822" t="s">
        <v>1283</v>
      </c>
      <c r="D822" t="s">
        <v>1284</v>
      </c>
      <c r="E822" t="s">
        <v>1285</v>
      </c>
      <c r="O822">
        <v>13</v>
      </c>
      <c r="P822">
        <v>14</v>
      </c>
      <c r="Q822">
        <v>15</v>
      </c>
    </row>
    <row r="823" spans="3:37">
      <c r="E823" t="s">
        <v>1286</v>
      </c>
    </row>
    <row r="824" spans="3:37">
      <c r="E824" t="s">
        <v>309</v>
      </c>
      <c r="F824" t="s">
        <v>236</v>
      </c>
      <c r="G824" t="s">
        <v>190</v>
      </c>
      <c r="H824" t="s">
        <v>1287</v>
      </c>
      <c r="I824" t="s">
        <v>1288</v>
      </c>
      <c r="J824" t="s">
        <v>1289</v>
      </c>
      <c r="K824" t="s">
        <v>1290</v>
      </c>
      <c r="O824" t="s">
        <v>1291</v>
      </c>
      <c r="P824" t="s">
        <v>1292</v>
      </c>
      <c r="Q824" t="s">
        <v>1293</v>
      </c>
    </row>
    <row r="825" spans="3:37">
      <c r="C825" t="s">
        <v>443</v>
      </c>
      <c r="D825" t="s">
        <v>1294</v>
      </c>
      <c r="E825">
        <v>1039.635</v>
      </c>
      <c r="F825">
        <v>8.2000000000000003E-2</v>
      </c>
      <c r="G825">
        <v>1.0999999999999999E-2</v>
      </c>
      <c r="H825">
        <v>1044.989</v>
      </c>
      <c r="I825">
        <v>5.47</v>
      </c>
      <c r="J825">
        <v>5.4189999999999996</v>
      </c>
      <c r="K825">
        <v>1.1000000000000001</v>
      </c>
      <c r="O825">
        <v>0.47157050358495006</v>
      </c>
      <c r="P825">
        <v>3.7194574340000008E-5</v>
      </c>
      <c r="Q825">
        <v>4.9895160700000003E-6</v>
      </c>
    </row>
    <row r="826" spans="3:37">
      <c r="C826" t="s">
        <v>466</v>
      </c>
      <c r="D826" t="s">
        <v>1295</v>
      </c>
      <c r="E826">
        <v>525.08299999999997</v>
      </c>
      <c r="F826">
        <v>2.4E-2</v>
      </c>
      <c r="G826">
        <v>4.0000000000000001E-3</v>
      </c>
      <c r="H826">
        <v>526.96299999999997</v>
      </c>
      <c r="I826">
        <v>7.7119999999999997</v>
      </c>
      <c r="J826">
        <v>7.8440000000000003</v>
      </c>
      <c r="K826">
        <v>0.67700000000000005</v>
      </c>
      <c r="O826">
        <v>0.23817364241671002</v>
      </c>
      <c r="P826">
        <v>1.0886216880000001E-5</v>
      </c>
      <c r="Q826">
        <v>1.8143694800000002E-6</v>
      </c>
    </row>
    <row r="827" spans="3:37">
      <c r="C827" t="s">
        <v>487</v>
      </c>
      <c r="D827" t="s">
        <v>1296</v>
      </c>
      <c r="E827">
        <v>1022.355</v>
      </c>
      <c r="F827">
        <v>7.6999999999999999E-2</v>
      </c>
      <c r="G827">
        <v>1.0999999999999999E-2</v>
      </c>
      <c r="H827">
        <v>1027.548</v>
      </c>
      <c r="I827">
        <v>0.73</v>
      </c>
      <c r="J827">
        <v>0.71899999999999997</v>
      </c>
      <c r="K827">
        <v>0.26300000000000001</v>
      </c>
      <c r="O827">
        <v>0.46373242743135007</v>
      </c>
      <c r="P827">
        <v>3.492661249E-5</v>
      </c>
      <c r="Q827">
        <v>4.9895160700000003E-6</v>
      </c>
    </row>
    <row r="828" spans="3:37">
      <c r="C828" t="s">
        <v>495</v>
      </c>
      <c r="D828" t="s">
        <v>1297</v>
      </c>
      <c r="E828">
        <v>496.536</v>
      </c>
      <c r="F828">
        <v>3.4000000000000002E-2</v>
      </c>
      <c r="G828">
        <v>4.0000000000000001E-3</v>
      </c>
      <c r="H828">
        <v>498.68599999999998</v>
      </c>
      <c r="I828">
        <v>0.46300000000000002</v>
      </c>
      <c r="J828">
        <v>0.41399999999999998</v>
      </c>
      <c r="K828">
        <v>4.7E-2</v>
      </c>
      <c r="O828">
        <v>0.22522494103032001</v>
      </c>
      <c r="P828">
        <v>1.5422140580000002E-5</v>
      </c>
      <c r="Q828">
        <v>1.8143694800000002E-6</v>
      </c>
    </row>
    <row r="829" spans="3:37">
      <c r="C829" t="s">
        <v>504</v>
      </c>
      <c r="D829" t="s">
        <v>1298</v>
      </c>
      <c r="E829">
        <v>931.67200000000003</v>
      </c>
      <c r="F829">
        <v>6.6000000000000003E-2</v>
      </c>
      <c r="G829">
        <v>8.9999999999999993E-3</v>
      </c>
      <c r="H829">
        <v>936.08199999999999</v>
      </c>
      <c r="I829">
        <v>0.54500000000000004</v>
      </c>
      <c r="J829">
        <v>0.55400000000000005</v>
      </c>
      <c r="K829">
        <v>0.82899999999999996</v>
      </c>
      <c r="O829">
        <v>0.42259931054264005</v>
      </c>
      <c r="P829">
        <v>2.9937096420000004E-5</v>
      </c>
      <c r="Q829">
        <v>4.0823313299999998E-6</v>
      </c>
    </row>
    <row r="830" spans="3:37">
      <c r="C830" t="s">
        <v>513</v>
      </c>
      <c r="D830" t="s">
        <v>1299</v>
      </c>
      <c r="E830">
        <v>931.84199999999998</v>
      </c>
      <c r="F830">
        <v>6.6000000000000003E-2</v>
      </c>
      <c r="G830">
        <v>8.9999999999999993E-3</v>
      </c>
      <c r="H830">
        <v>936.14499999999998</v>
      </c>
      <c r="I830">
        <v>0.35599999999999998</v>
      </c>
      <c r="J830">
        <v>0.36499999999999999</v>
      </c>
      <c r="K830">
        <v>0.27800000000000002</v>
      </c>
      <c r="O830">
        <v>0.42267642124554006</v>
      </c>
      <c r="P830">
        <v>2.9937096420000004E-5</v>
      </c>
      <c r="Q830">
        <v>4.0823313299999998E-6</v>
      </c>
    </row>
    <row r="831" spans="3:37">
      <c r="C831" t="s">
        <v>522</v>
      </c>
      <c r="D831" t="s">
        <v>1300</v>
      </c>
      <c r="E831">
        <v>1110.6890000000001</v>
      </c>
      <c r="F831">
        <v>0.11799999999999999</v>
      </c>
      <c r="G831">
        <v>1.7999999999999999E-2</v>
      </c>
      <c r="H831">
        <v>1119.077</v>
      </c>
      <c r="I831">
        <v>7.6379999999999999</v>
      </c>
      <c r="J831">
        <v>7.5819999999999999</v>
      </c>
      <c r="K831">
        <v>3.9689999999999999</v>
      </c>
      <c r="O831">
        <v>0.50380005584293008</v>
      </c>
      <c r="P831">
        <v>5.3523899660000004E-5</v>
      </c>
      <c r="Q831">
        <v>8.1646626599999996E-6</v>
      </c>
    </row>
    <row r="832" spans="3:37">
      <c r="C832" t="s">
        <v>529</v>
      </c>
      <c r="D832" t="s">
        <v>1301</v>
      </c>
      <c r="E832">
        <v>1669.943</v>
      </c>
      <c r="F832">
        <v>0.18</v>
      </c>
      <c r="G832">
        <v>2.7E-2</v>
      </c>
      <c r="H832">
        <v>1682.596</v>
      </c>
      <c r="I832">
        <v>3.5150000000000001</v>
      </c>
      <c r="J832">
        <v>3.7730000000000001</v>
      </c>
      <c r="K832">
        <v>7.9969999999999999</v>
      </c>
      <c r="O832">
        <v>0.75747340313491007</v>
      </c>
      <c r="P832">
        <v>8.1646626600000006E-5</v>
      </c>
      <c r="Q832">
        <v>1.224699399E-5</v>
      </c>
    </row>
    <row r="833" spans="3:17">
      <c r="C833" t="s">
        <v>537</v>
      </c>
      <c r="D833" t="s">
        <v>1302</v>
      </c>
      <c r="E833">
        <v>1678.0160000000001</v>
      </c>
      <c r="F833">
        <v>0.16900000000000001</v>
      </c>
      <c r="G833">
        <v>2.5000000000000001E-2</v>
      </c>
      <c r="H833">
        <v>1689.6510000000001</v>
      </c>
      <c r="I833">
        <v>0.88</v>
      </c>
      <c r="J833">
        <v>0.88700000000000001</v>
      </c>
      <c r="K833">
        <v>0.89100000000000001</v>
      </c>
      <c r="O833">
        <v>0.76113525433792006</v>
      </c>
      <c r="P833">
        <v>7.665711053000001E-5</v>
      </c>
      <c r="Q833">
        <v>1.1339809250000001E-5</v>
      </c>
    </row>
    <row r="834" spans="3:17">
      <c r="C834" t="s">
        <v>542</v>
      </c>
      <c r="D834" t="s">
        <v>1303</v>
      </c>
      <c r="E834">
        <v>1239.848</v>
      </c>
      <c r="F834">
        <v>0.13800000000000001</v>
      </c>
      <c r="G834">
        <v>0.02</v>
      </c>
      <c r="H834">
        <v>1249.201</v>
      </c>
      <c r="I834">
        <v>0.97699999999999998</v>
      </c>
      <c r="J834">
        <v>1.0089999999999999</v>
      </c>
      <c r="K834">
        <v>1.351</v>
      </c>
      <c r="O834">
        <v>0.56238559275976008</v>
      </c>
      <c r="P834">
        <v>6.2595747060000009E-5</v>
      </c>
      <c r="Q834">
        <v>9.0718474000000018E-6</v>
      </c>
    </row>
    <row r="835" spans="3:17">
      <c r="C835" t="s">
        <v>546</v>
      </c>
      <c r="D835" t="s">
        <v>1304</v>
      </c>
      <c r="E835">
        <v>522.31200000000001</v>
      </c>
      <c r="F835">
        <v>8.2000000000000003E-2</v>
      </c>
      <c r="G835">
        <v>1.0999999999999999E-2</v>
      </c>
      <c r="H835">
        <v>527.56399999999996</v>
      </c>
      <c r="I835">
        <v>0.38700000000000001</v>
      </c>
      <c r="J835">
        <v>0.35</v>
      </c>
      <c r="K835">
        <v>0.13600000000000001</v>
      </c>
      <c r="O835">
        <v>0.23691673795944002</v>
      </c>
      <c r="P835">
        <v>3.7194574340000008E-5</v>
      </c>
      <c r="Q835">
        <v>4.9895160700000003E-6</v>
      </c>
    </row>
    <row r="836" spans="3:17">
      <c r="C836" t="s">
        <v>553</v>
      </c>
      <c r="D836" t="s">
        <v>1305</v>
      </c>
      <c r="E836">
        <v>639.03700000000003</v>
      </c>
      <c r="F836">
        <v>6.4000000000000001E-2</v>
      </c>
      <c r="G836">
        <v>8.9999999999999993E-3</v>
      </c>
      <c r="H836">
        <v>643.36300000000006</v>
      </c>
      <c r="I836">
        <v>0.57999999999999996</v>
      </c>
      <c r="J836">
        <v>0.57699999999999996</v>
      </c>
      <c r="K836">
        <v>0.377</v>
      </c>
      <c r="O836">
        <v>0.28986230734769003</v>
      </c>
      <c r="P836">
        <v>2.9029911680000003E-5</v>
      </c>
      <c r="Q836">
        <v>4.0823313299999998E-6</v>
      </c>
    </row>
    <row r="837" spans="3:17">
      <c r="C837" t="s">
        <v>561</v>
      </c>
      <c r="D837" t="s">
        <v>1306</v>
      </c>
      <c r="E837">
        <v>596.41399999999999</v>
      </c>
      <c r="F837">
        <v>2.1999999999999999E-2</v>
      </c>
      <c r="G837">
        <v>3.0000000000000001E-3</v>
      </c>
      <c r="H837">
        <v>597.76199999999994</v>
      </c>
      <c r="I837">
        <v>0.251</v>
      </c>
      <c r="J837">
        <v>0.249</v>
      </c>
      <c r="K837">
        <v>2.5999999999999999E-2</v>
      </c>
      <c r="O837">
        <v>0.27052883976118003</v>
      </c>
      <c r="P837">
        <v>9.9790321400000006E-6</v>
      </c>
      <c r="Q837">
        <v>1.3607771100000001E-6</v>
      </c>
    </row>
    <row r="838" spans="3:17">
      <c r="C838" t="s">
        <v>568</v>
      </c>
      <c r="D838" t="s">
        <v>1307</v>
      </c>
      <c r="E838">
        <v>1184.241</v>
      </c>
      <c r="F838">
        <v>0.13900000000000001</v>
      </c>
      <c r="G838">
        <v>1.7999999999999999E-2</v>
      </c>
      <c r="H838">
        <v>1193.0909999999999</v>
      </c>
      <c r="I838">
        <v>0.86</v>
      </c>
      <c r="J838">
        <v>0.82799999999999996</v>
      </c>
      <c r="K838">
        <v>0.23400000000000001</v>
      </c>
      <c r="O838">
        <v>0.53716268184117</v>
      </c>
      <c r="P838">
        <v>6.3049339430000016E-5</v>
      </c>
      <c r="Q838">
        <v>8.1646626599999996E-6</v>
      </c>
    </row>
    <row r="839" spans="3:17">
      <c r="C839" t="s">
        <v>573</v>
      </c>
      <c r="D839" t="s">
        <v>1308</v>
      </c>
      <c r="E839">
        <v>253.11199999999999</v>
      </c>
      <c r="F839">
        <v>1.7999999999999999E-2</v>
      </c>
      <c r="G839">
        <v>2E-3</v>
      </c>
      <c r="H839">
        <v>253.88900000000001</v>
      </c>
      <c r="I839">
        <v>0.13600000000000001</v>
      </c>
      <c r="J839">
        <v>0.13600000000000001</v>
      </c>
      <c r="K839">
        <v>9.1999999999999998E-2</v>
      </c>
      <c r="O839">
        <v>0.11480967195544001</v>
      </c>
      <c r="P839">
        <v>8.1646626599999996E-6</v>
      </c>
      <c r="Q839">
        <v>9.071847400000001E-7</v>
      </c>
    </row>
    <row r="840" spans="3:17">
      <c r="C840" t="s">
        <v>579</v>
      </c>
      <c r="D840" t="s">
        <v>1309</v>
      </c>
      <c r="E840">
        <v>715.96600000000001</v>
      </c>
      <c r="F840">
        <v>6.0999999999999999E-2</v>
      </c>
      <c r="G840">
        <v>8.0000000000000002E-3</v>
      </c>
      <c r="H840">
        <v>719.97900000000004</v>
      </c>
      <c r="I840">
        <v>0.33300000000000002</v>
      </c>
      <c r="J840">
        <v>0.28799999999999998</v>
      </c>
      <c r="K840">
        <v>0.48</v>
      </c>
      <c r="O840">
        <v>0.32475671477942003</v>
      </c>
      <c r="P840">
        <v>2.7669134570000002E-5</v>
      </c>
      <c r="Q840">
        <v>3.6287389600000004E-6</v>
      </c>
    </row>
    <row r="841" spans="3:17">
      <c r="C841" t="s">
        <v>586</v>
      </c>
      <c r="D841" t="s">
        <v>1310</v>
      </c>
      <c r="E841">
        <v>1312.56</v>
      </c>
      <c r="F841">
        <v>0.129</v>
      </c>
      <c r="G841">
        <v>1.7999999999999999E-2</v>
      </c>
      <c r="H841">
        <v>1321.1849999999999</v>
      </c>
      <c r="I841">
        <v>0.79800000000000004</v>
      </c>
      <c r="J841">
        <v>0.79200000000000004</v>
      </c>
      <c r="K841">
        <v>1.296</v>
      </c>
      <c r="O841">
        <v>0.59536720116719999</v>
      </c>
      <c r="P841">
        <v>5.8513415730000006E-5</v>
      </c>
      <c r="Q841">
        <v>8.1646626599999996E-6</v>
      </c>
    </row>
    <row r="842" spans="3:17">
      <c r="C842" t="s">
        <v>592</v>
      </c>
      <c r="D842" t="s">
        <v>1311</v>
      </c>
      <c r="E842">
        <v>1166.096</v>
      </c>
      <c r="F842">
        <v>0.11700000000000001</v>
      </c>
      <c r="G842">
        <v>1.7000000000000001E-2</v>
      </c>
      <c r="H842">
        <v>1174.029</v>
      </c>
      <c r="I842">
        <v>0.82499999999999996</v>
      </c>
      <c r="J842">
        <v>0.65200000000000002</v>
      </c>
      <c r="K842">
        <v>0.92500000000000004</v>
      </c>
      <c r="O842">
        <v>0.52893224828752006</v>
      </c>
      <c r="P842">
        <v>5.307030729000001E-5</v>
      </c>
      <c r="Q842">
        <v>7.711070290000001E-6</v>
      </c>
    </row>
    <row r="843" spans="3:17">
      <c r="C843" t="s">
        <v>596</v>
      </c>
      <c r="D843" t="s">
        <v>1312</v>
      </c>
      <c r="E843">
        <v>1273.615</v>
      </c>
      <c r="F843">
        <v>0.123</v>
      </c>
      <c r="G843">
        <v>1.7999999999999999E-2</v>
      </c>
      <c r="H843">
        <v>1281.944</v>
      </c>
      <c r="I843">
        <v>0.67300000000000004</v>
      </c>
      <c r="J843">
        <v>0.68899999999999995</v>
      </c>
      <c r="K843">
        <v>0.41799999999999998</v>
      </c>
      <c r="O843">
        <v>0.57770204631755007</v>
      </c>
      <c r="P843">
        <v>5.5791861510000005E-5</v>
      </c>
      <c r="Q843">
        <v>8.1646626599999996E-6</v>
      </c>
    </row>
    <row r="844" spans="3:17">
      <c r="C844" t="s">
        <v>600</v>
      </c>
      <c r="D844" t="s">
        <v>1313</v>
      </c>
      <c r="E844">
        <v>1163.1869999999999</v>
      </c>
      <c r="F844">
        <v>0.124</v>
      </c>
      <c r="G844">
        <v>1.7999999999999999E-2</v>
      </c>
      <c r="H844">
        <v>1171.606</v>
      </c>
      <c r="I844">
        <v>0.64200000000000002</v>
      </c>
      <c r="J844">
        <v>0.72</v>
      </c>
      <c r="K844">
        <v>0.33300000000000002</v>
      </c>
      <c r="O844">
        <v>0.52761274808319003</v>
      </c>
      <c r="P844">
        <v>5.6245453880000005E-5</v>
      </c>
      <c r="Q844">
        <v>8.1646626599999996E-6</v>
      </c>
    </row>
    <row r="845" spans="3:17">
      <c r="C845" t="s">
        <v>605</v>
      </c>
      <c r="D845" t="s">
        <v>1314</v>
      </c>
      <c r="E845">
        <v>1166.5820000000001</v>
      </c>
      <c r="F845">
        <v>9.0999999999999998E-2</v>
      </c>
      <c r="G845">
        <v>1.2999999999999999E-2</v>
      </c>
      <c r="H845">
        <v>1172.7550000000001</v>
      </c>
      <c r="I845">
        <v>0.83199999999999996</v>
      </c>
      <c r="J845">
        <v>0.88200000000000001</v>
      </c>
      <c r="K845">
        <v>1.242</v>
      </c>
      <c r="O845">
        <v>0.52915269417934008</v>
      </c>
      <c r="P845">
        <v>4.1276905670000003E-5</v>
      </c>
      <c r="Q845">
        <v>5.89670081E-6</v>
      </c>
    </row>
    <row r="846" spans="3:17">
      <c r="C846" t="s">
        <v>611</v>
      </c>
      <c r="D846" t="s">
        <v>1315</v>
      </c>
      <c r="E846">
        <v>854.64499999999998</v>
      </c>
      <c r="F846">
        <v>5.5E-2</v>
      </c>
      <c r="G846">
        <v>8.0000000000000002E-3</v>
      </c>
      <c r="H846">
        <v>858.36900000000003</v>
      </c>
      <c r="I846">
        <v>0.61399999999999999</v>
      </c>
      <c r="J846">
        <v>0.67100000000000004</v>
      </c>
      <c r="K846">
        <v>0.96</v>
      </c>
      <c r="O846">
        <v>0.38766045105865005</v>
      </c>
      <c r="P846">
        <v>2.4947580350000004E-5</v>
      </c>
      <c r="Q846">
        <v>3.6287389600000004E-6</v>
      </c>
    </row>
    <row r="847" spans="3:17">
      <c r="C847" t="s">
        <v>615</v>
      </c>
      <c r="D847" t="s">
        <v>1316</v>
      </c>
      <c r="E847">
        <v>1664.15</v>
      </c>
      <c r="F847">
        <v>0.185</v>
      </c>
      <c r="G847">
        <v>2.7E-2</v>
      </c>
      <c r="H847">
        <v>1676.7819999999999</v>
      </c>
      <c r="I847">
        <v>1.06</v>
      </c>
      <c r="J847">
        <v>0.79100000000000004</v>
      </c>
      <c r="K847">
        <v>2.488</v>
      </c>
      <c r="O847">
        <v>0.75484574253550007</v>
      </c>
      <c r="P847">
        <v>8.3914588450000001E-5</v>
      </c>
      <c r="Q847">
        <v>1.224699399E-5</v>
      </c>
    </row>
    <row r="848" spans="3:17">
      <c r="C848" t="s">
        <v>620</v>
      </c>
      <c r="D848" t="s">
        <v>1317</v>
      </c>
      <c r="E848">
        <v>1027.9280000000001</v>
      </c>
      <c r="F848">
        <v>8.1000000000000003E-2</v>
      </c>
      <c r="G848">
        <v>1.2E-2</v>
      </c>
      <c r="H848">
        <v>1033.471</v>
      </c>
      <c r="I848">
        <v>0.496</v>
      </c>
      <c r="J848">
        <v>0.433</v>
      </c>
      <c r="K848">
        <v>0.29699999999999999</v>
      </c>
      <c r="O848">
        <v>0.46626029770936012</v>
      </c>
      <c r="P848">
        <v>3.6740981970000007E-5</v>
      </c>
      <c r="Q848">
        <v>5.4431084400000006E-6</v>
      </c>
    </row>
    <row r="849" spans="3:17">
      <c r="C849" t="s">
        <v>625</v>
      </c>
      <c r="D849" t="s">
        <v>1318</v>
      </c>
      <c r="E849">
        <v>1031.537</v>
      </c>
      <c r="F849">
        <v>9.7000000000000003E-2</v>
      </c>
      <c r="G849">
        <v>1.4E-2</v>
      </c>
      <c r="H849">
        <v>1038.127</v>
      </c>
      <c r="I849">
        <v>0.55100000000000005</v>
      </c>
      <c r="J849">
        <v>0.504</v>
      </c>
      <c r="K849">
        <v>0.61899999999999999</v>
      </c>
      <c r="O849">
        <v>0.46789731257269007</v>
      </c>
      <c r="P849">
        <v>4.3998459890000005E-5</v>
      </c>
      <c r="Q849">
        <v>6.3502931800000011E-6</v>
      </c>
    </row>
    <row r="850" spans="3:17">
      <c r="C850" t="s">
        <v>629</v>
      </c>
      <c r="D850" t="s">
        <v>1319</v>
      </c>
      <c r="E850">
        <v>743.32799999999997</v>
      </c>
      <c r="F850">
        <v>6.7000000000000004E-2</v>
      </c>
      <c r="G850">
        <v>8.9999999999999993E-3</v>
      </c>
      <c r="H850">
        <v>747.51300000000003</v>
      </c>
      <c r="I850">
        <v>0.437</v>
      </c>
      <c r="J850">
        <v>0.42599999999999999</v>
      </c>
      <c r="K850">
        <v>0.26300000000000001</v>
      </c>
      <c r="O850">
        <v>0.33716790920736001</v>
      </c>
      <c r="P850">
        <v>3.0390688790000004E-5</v>
      </c>
      <c r="Q850">
        <v>4.0823313299999998E-6</v>
      </c>
    </row>
    <row r="851" spans="3:17">
      <c r="C851" t="s">
        <v>635</v>
      </c>
      <c r="E851">
        <v>947.18200000000002</v>
      </c>
      <c r="F851">
        <v>8.5000000000000006E-2</v>
      </c>
      <c r="G851">
        <v>1.2E-2</v>
      </c>
      <c r="H851">
        <v>952.87699999999995</v>
      </c>
      <c r="I851">
        <v>0.61899999999999999</v>
      </c>
      <c r="J851">
        <v>0.57999999999999996</v>
      </c>
      <c r="K851">
        <v>0.67500000000000004</v>
      </c>
      <c r="O851">
        <v>0.42963452820134007</v>
      </c>
      <c r="P851">
        <v>3.8555351450000009E-5</v>
      </c>
      <c r="Q851">
        <v>5.4431084400000006E-6</v>
      </c>
    </row>
    <row r="854" spans="3:17">
      <c r="C854" t="s">
        <v>646</v>
      </c>
      <c r="O854">
        <v>0.81</v>
      </c>
      <c r="P854">
        <v>0</v>
      </c>
      <c r="Q854">
        <v>0</v>
      </c>
    </row>
    <row r="855" spans="3:17">
      <c r="C855" t="s">
        <v>652</v>
      </c>
      <c r="O855">
        <v>1.02</v>
      </c>
      <c r="P855">
        <v>0</v>
      </c>
      <c r="Q855">
        <v>0</v>
      </c>
    </row>
    <row r="856" spans="3:17">
      <c r="C856" t="s">
        <v>659</v>
      </c>
      <c r="O856">
        <v>0.81</v>
      </c>
      <c r="P856">
        <v>0</v>
      </c>
      <c r="Q856">
        <v>0</v>
      </c>
    </row>
    <row r="857" spans="3:17">
      <c r="C857" t="s">
        <v>665</v>
      </c>
      <c r="O857">
        <v>0.44</v>
      </c>
      <c r="P857">
        <v>0</v>
      </c>
      <c r="Q857">
        <v>0</v>
      </c>
    </row>
    <row r="858" spans="3:17">
      <c r="C858" t="s">
        <v>671</v>
      </c>
      <c r="O858">
        <v>0.69</v>
      </c>
      <c r="P858">
        <v>0</v>
      </c>
      <c r="Q858">
        <v>0</v>
      </c>
    </row>
    <row r="859" spans="3:17">
      <c r="C859" t="s">
        <v>677</v>
      </c>
      <c r="O859">
        <v>0.15</v>
      </c>
      <c r="P859">
        <v>0</v>
      </c>
      <c r="Q859">
        <v>0</v>
      </c>
    </row>
    <row r="860" spans="3:17">
      <c r="C860" t="s">
        <v>682</v>
      </c>
      <c r="O860">
        <v>0.63</v>
      </c>
      <c r="P860">
        <v>0</v>
      </c>
      <c r="Q860">
        <v>0</v>
      </c>
    </row>
    <row r="865" spans="3:17">
      <c r="D865" t="s">
        <v>1320</v>
      </c>
      <c r="I865" t="s">
        <v>1321</v>
      </c>
      <c r="K865">
        <v>2016</v>
      </c>
      <c r="L865" t="s">
        <v>1322</v>
      </c>
    </row>
    <row r="866" spans="3:17">
      <c r="C866" t="s">
        <v>1323</v>
      </c>
      <c r="D866" t="s">
        <v>1324</v>
      </c>
      <c r="I866">
        <v>140</v>
      </c>
      <c r="K866">
        <v>140</v>
      </c>
      <c r="L866">
        <v>130</v>
      </c>
    </row>
    <row r="867" spans="3:17">
      <c r="C867" t="s">
        <v>1323</v>
      </c>
      <c r="D867" t="s">
        <v>1325</v>
      </c>
      <c r="I867">
        <v>0.01</v>
      </c>
      <c r="K867">
        <v>0</v>
      </c>
      <c r="L867">
        <v>0</v>
      </c>
    </row>
    <row r="868" spans="3:17">
      <c r="C868" t="s">
        <v>1323</v>
      </c>
      <c r="D868" t="s">
        <v>1326</v>
      </c>
      <c r="I868">
        <v>3.0000000000000001E-3</v>
      </c>
      <c r="K868">
        <v>0</v>
      </c>
      <c r="L868">
        <v>0</v>
      </c>
      <c r="O868">
        <v>130</v>
      </c>
      <c r="P868">
        <v>0</v>
      </c>
      <c r="Q868">
        <v>0</v>
      </c>
    </row>
    <row r="869" spans="3:17">
      <c r="C869" t="s">
        <v>1323</v>
      </c>
      <c r="D869" s="208" t="s">
        <v>1327</v>
      </c>
      <c r="E869" s="208"/>
      <c r="F869" s="208"/>
      <c r="G869" s="208"/>
      <c r="H869" s="208"/>
      <c r="I869" s="208">
        <v>140</v>
      </c>
      <c r="J869" s="208"/>
      <c r="K869" s="208">
        <v>140</v>
      </c>
      <c r="L869" s="208">
        <v>130</v>
      </c>
      <c r="O869">
        <v>0.13</v>
      </c>
      <c r="P869">
        <v>0</v>
      </c>
      <c r="Q869">
        <v>0</v>
      </c>
    </row>
    <row r="870" spans="3:17">
      <c r="C870" t="s">
        <v>1328</v>
      </c>
      <c r="D870" t="s">
        <v>1324</v>
      </c>
      <c r="I870">
        <v>37</v>
      </c>
      <c r="K870">
        <v>37</v>
      </c>
      <c r="L870">
        <v>40</v>
      </c>
    </row>
    <row r="871" spans="3:17">
      <c r="C871" t="s">
        <v>1328</v>
      </c>
      <c r="D871" t="s">
        <v>1325</v>
      </c>
      <c r="I871">
        <v>5.9999999999999995E-4</v>
      </c>
      <c r="K871">
        <v>5.9999999999999995E-4</v>
      </c>
      <c r="L871">
        <v>5.9999999999999995E-4</v>
      </c>
    </row>
    <row r="872" spans="3:17">
      <c r="C872" t="s">
        <v>1328</v>
      </c>
      <c r="D872" t="s">
        <v>1326</v>
      </c>
      <c r="I872">
        <v>1E-3</v>
      </c>
      <c r="K872">
        <v>1E-3</v>
      </c>
      <c r="L872">
        <v>1E-3</v>
      </c>
      <c r="O872">
        <v>40</v>
      </c>
      <c r="P872">
        <v>5.9999999999999995E-4</v>
      </c>
      <c r="Q872">
        <v>1E-3</v>
      </c>
    </row>
    <row r="873" spans="3:17">
      <c r="C873" t="s">
        <v>692</v>
      </c>
      <c r="D873" s="208" t="s">
        <v>1327</v>
      </c>
      <c r="E873" s="208"/>
      <c r="F873" s="208"/>
      <c r="G873" s="208"/>
      <c r="H873" s="208"/>
      <c r="I873" s="208">
        <v>37</v>
      </c>
      <c r="J873" s="208"/>
      <c r="K873" s="208">
        <v>37</v>
      </c>
      <c r="L873" s="208">
        <v>40</v>
      </c>
      <c r="O873">
        <v>0.04</v>
      </c>
      <c r="P873">
        <v>5.9999999999999997E-7</v>
      </c>
      <c r="Q873">
        <v>9.9999999999999995E-7</v>
      </c>
    </row>
    <row r="874" spans="3:17">
      <c r="C874" t="s">
        <v>1329</v>
      </c>
      <c r="D874" t="s">
        <v>1324</v>
      </c>
      <c r="I874">
        <v>25</v>
      </c>
      <c r="K874">
        <v>7</v>
      </c>
      <c r="L874">
        <v>14</v>
      </c>
    </row>
    <row r="875" spans="3:17">
      <c r="C875" t="s">
        <v>1329</v>
      </c>
      <c r="D875" t="s">
        <v>1325</v>
      </c>
      <c r="I875">
        <v>5.0000000000000001E-4</v>
      </c>
      <c r="K875">
        <v>2.0000000000000001E-4</v>
      </c>
      <c r="L875">
        <v>5.0000000000000001E-4</v>
      </c>
    </row>
    <row r="876" spans="3:17">
      <c r="C876" t="s">
        <v>1329</v>
      </c>
      <c r="D876" t="s">
        <v>1326</v>
      </c>
      <c r="I876">
        <v>5.0000000000000001E-4</v>
      </c>
      <c r="K876">
        <v>1E-4</v>
      </c>
      <c r="L876">
        <v>2.0000000000000001E-4</v>
      </c>
      <c r="O876">
        <v>14</v>
      </c>
      <c r="P876">
        <v>5.0000000000000001E-4</v>
      </c>
      <c r="Q876">
        <v>2.0000000000000001E-4</v>
      </c>
    </row>
    <row r="877" spans="3:17">
      <c r="C877" t="s">
        <v>696</v>
      </c>
      <c r="D877" s="208" t="s">
        <v>1327</v>
      </c>
      <c r="E877" s="208"/>
      <c r="F877" s="208"/>
      <c r="G877" s="208"/>
      <c r="H877" s="208"/>
      <c r="I877" s="208">
        <v>25</v>
      </c>
      <c r="J877" s="208"/>
      <c r="K877" s="208">
        <v>7</v>
      </c>
      <c r="L877" s="208">
        <v>14</v>
      </c>
      <c r="O877">
        <v>1.4E-2</v>
      </c>
      <c r="P877">
        <v>4.9999999999999998E-7</v>
      </c>
      <c r="Q877">
        <v>2.0000000000000002E-7</v>
      </c>
    </row>
    <row r="878" spans="3:17">
      <c r="C878" t="s">
        <v>1330</v>
      </c>
      <c r="D878" t="s">
        <v>1324</v>
      </c>
      <c r="I878">
        <v>670</v>
      </c>
      <c r="K878">
        <v>700</v>
      </c>
      <c r="L878">
        <v>670</v>
      </c>
    </row>
    <row r="879" spans="3:17">
      <c r="C879" t="s">
        <v>1330</v>
      </c>
      <c r="D879" t="s">
        <v>1325</v>
      </c>
      <c r="I879">
        <v>0.02</v>
      </c>
      <c r="K879">
        <v>0.03</v>
      </c>
      <c r="L879">
        <v>0.03</v>
      </c>
    </row>
    <row r="880" spans="3:17">
      <c r="C880" t="s">
        <v>1330</v>
      </c>
      <c r="D880" t="s">
        <v>1326</v>
      </c>
      <c r="I880">
        <v>0.01</v>
      </c>
      <c r="K880">
        <v>0.01</v>
      </c>
      <c r="L880">
        <v>0.01</v>
      </c>
      <c r="O880">
        <v>670</v>
      </c>
      <c r="P880">
        <v>0.03</v>
      </c>
      <c r="Q880">
        <v>0.01</v>
      </c>
    </row>
    <row r="881" spans="3:17">
      <c r="C881" t="s">
        <v>700</v>
      </c>
      <c r="D881" s="208" t="s">
        <v>1327</v>
      </c>
      <c r="E881" s="208"/>
      <c r="F881" s="208"/>
      <c r="G881" s="208"/>
      <c r="H881" s="208"/>
      <c r="I881" s="208">
        <v>680</v>
      </c>
      <c r="J881" s="208"/>
      <c r="K881" s="208">
        <v>670</v>
      </c>
      <c r="L881" s="208">
        <v>670</v>
      </c>
      <c r="O881">
        <v>0.67</v>
      </c>
      <c r="P881">
        <v>2.9999999999999997E-5</v>
      </c>
      <c r="Q881">
        <v>1.0000000000000001E-5</v>
      </c>
    </row>
    <row r="882" spans="3:17">
      <c r="C882" t="s">
        <v>1331</v>
      </c>
      <c r="D882" t="s">
        <v>1324</v>
      </c>
      <c r="I882">
        <v>330</v>
      </c>
      <c r="K882">
        <v>320</v>
      </c>
      <c r="L882">
        <v>310</v>
      </c>
    </row>
    <row r="883" spans="3:17">
      <c r="C883" t="s">
        <v>1331</v>
      </c>
      <c r="D883" t="s">
        <v>1325</v>
      </c>
      <c r="I883">
        <v>0.02</v>
      </c>
      <c r="K883">
        <v>0.02</v>
      </c>
      <c r="L883">
        <v>0.02</v>
      </c>
    </row>
    <row r="884" spans="3:17">
      <c r="C884" t="s">
        <v>1331</v>
      </c>
      <c r="D884" t="s">
        <v>1326</v>
      </c>
      <c r="I884">
        <v>5.0000000000000001E-3</v>
      </c>
      <c r="K884">
        <v>5.0000000000000001E-3</v>
      </c>
      <c r="L884">
        <v>4.0000000000000001E-3</v>
      </c>
      <c r="O884">
        <v>310</v>
      </c>
      <c r="P884">
        <v>0.02</v>
      </c>
      <c r="Q884">
        <v>4.0000000000000001E-3</v>
      </c>
    </row>
    <row r="885" spans="3:17">
      <c r="C885" t="s">
        <v>704</v>
      </c>
      <c r="D885" s="208" t="s">
        <v>1327</v>
      </c>
      <c r="E885" s="208"/>
      <c r="F885" s="208"/>
      <c r="G885" s="208"/>
      <c r="H885" s="208"/>
      <c r="I885" s="208">
        <v>340</v>
      </c>
      <c r="J885" s="208"/>
      <c r="K885" s="208">
        <v>320</v>
      </c>
      <c r="L885" s="208">
        <v>310</v>
      </c>
      <c r="O885">
        <v>0.31</v>
      </c>
      <c r="P885">
        <v>2.0000000000000002E-5</v>
      </c>
      <c r="Q885">
        <v>3.9999999999999998E-6</v>
      </c>
    </row>
    <row r="886" spans="3:17">
      <c r="C886" t="s">
        <v>1332</v>
      </c>
      <c r="D886" t="s">
        <v>1324</v>
      </c>
      <c r="I886">
        <v>1.2</v>
      </c>
      <c r="K886">
        <v>1.2</v>
      </c>
      <c r="L886">
        <v>1.2</v>
      </c>
    </row>
    <row r="887" spans="3:17">
      <c r="C887" t="s">
        <v>1332</v>
      </c>
      <c r="D887" t="s">
        <v>1325</v>
      </c>
      <c r="I887">
        <v>0</v>
      </c>
      <c r="K887">
        <v>0</v>
      </c>
      <c r="L887">
        <v>0</v>
      </c>
    </row>
    <row r="888" spans="3:17">
      <c r="C888" t="s">
        <v>1332</v>
      </c>
      <c r="D888" t="s">
        <v>1326</v>
      </c>
      <c r="I888">
        <v>1E-4</v>
      </c>
      <c r="K888">
        <v>1E-4</v>
      </c>
      <c r="L888">
        <v>1E-4</v>
      </c>
      <c r="O888">
        <v>1.2</v>
      </c>
      <c r="P888">
        <v>0</v>
      </c>
      <c r="Q888">
        <v>1E-4</v>
      </c>
    </row>
    <row r="889" spans="3:17">
      <c r="C889" t="s">
        <v>707</v>
      </c>
      <c r="D889" s="208" t="s">
        <v>1327</v>
      </c>
      <c r="E889" s="208"/>
      <c r="F889" s="208"/>
      <c r="G889" s="208"/>
      <c r="H889" s="208"/>
      <c r="I889" s="208">
        <v>1.3</v>
      </c>
      <c r="J889" s="208"/>
      <c r="K889" s="208">
        <v>1.3</v>
      </c>
      <c r="L889" s="208">
        <v>1.3</v>
      </c>
      <c r="O889">
        <v>1.1999999999999999E-3</v>
      </c>
      <c r="P889">
        <v>0</v>
      </c>
      <c r="Q889">
        <v>1.0000000000000001E-7</v>
      </c>
    </row>
    <row r="890" spans="3:17">
      <c r="C890" t="s">
        <v>1333</v>
      </c>
      <c r="D890" t="s">
        <v>1324</v>
      </c>
      <c r="I890">
        <v>35</v>
      </c>
      <c r="K890">
        <v>36</v>
      </c>
      <c r="L890">
        <v>17</v>
      </c>
    </row>
    <row r="891" spans="3:17">
      <c r="C891" t="s">
        <v>1333</v>
      </c>
      <c r="D891" t="s">
        <v>1325</v>
      </c>
      <c r="I891">
        <v>0.01</v>
      </c>
      <c r="K891">
        <v>0.01</v>
      </c>
      <c r="L891">
        <v>0</v>
      </c>
    </row>
    <row r="892" spans="3:17">
      <c r="C892" t="s">
        <v>1333</v>
      </c>
      <c r="D892" t="s">
        <v>1326</v>
      </c>
      <c r="I892">
        <v>1E-3</v>
      </c>
      <c r="K892">
        <v>1E-3</v>
      </c>
      <c r="L892">
        <v>1E-3</v>
      </c>
      <c r="O892">
        <v>17</v>
      </c>
      <c r="P892">
        <v>0</v>
      </c>
      <c r="Q892">
        <v>1E-3</v>
      </c>
    </row>
    <row r="893" spans="3:17">
      <c r="C893" t="s">
        <v>709</v>
      </c>
      <c r="D893" s="208" t="s">
        <v>1327</v>
      </c>
      <c r="E893" s="208"/>
      <c r="F893" s="208"/>
      <c r="G893" s="208"/>
      <c r="H893" s="208"/>
      <c r="I893" s="208">
        <v>36</v>
      </c>
      <c r="J893" s="208"/>
      <c r="K893" s="208">
        <v>37</v>
      </c>
      <c r="L893" s="208">
        <v>17</v>
      </c>
      <c r="O893">
        <v>1.7000000000000001E-2</v>
      </c>
      <c r="P893">
        <v>0</v>
      </c>
      <c r="Q893">
        <v>9.9999999999999995E-7</v>
      </c>
    </row>
    <row r="894" spans="3:17">
      <c r="C894" t="s">
        <v>1334</v>
      </c>
      <c r="D894" t="s">
        <v>1324</v>
      </c>
      <c r="I894">
        <v>1.9</v>
      </c>
      <c r="K894">
        <v>1.9</v>
      </c>
      <c r="L894">
        <v>1.9</v>
      </c>
    </row>
    <row r="895" spans="3:17">
      <c r="C895" t="s">
        <v>1334</v>
      </c>
      <c r="D895" t="s">
        <v>1325</v>
      </c>
      <c r="I895">
        <v>1E-4</v>
      </c>
      <c r="K895">
        <v>1E-4</v>
      </c>
      <c r="L895">
        <v>1E-4</v>
      </c>
    </row>
    <row r="896" spans="3:17">
      <c r="C896" t="s">
        <v>1334</v>
      </c>
      <c r="D896" t="s">
        <v>1326</v>
      </c>
      <c r="I896">
        <v>1E-4</v>
      </c>
      <c r="K896">
        <v>1E-4</v>
      </c>
      <c r="L896">
        <v>1E-4</v>
      </c>
      <c r="O896">
        <v>1.9</v>
      </c>
      <c r="P896">
        <v>1E-4</v>
      </c>
      <c r="Q896">
        <v>1E-4</v>
      </c>
    </row>
    <row r="897" spans="3:17">
      <c r="C897" t="s">
        <v>713</v>
      </c>
      <c r="D897" s="208" t="s">
        <v>1327</v>
      </c>
      <c r="E897" s="208"/>
      <c r="F897" s="208"/>
      <c r="G897" s="208"/>
      <c r="H897" s="208"/>
      <c r="I897" s="208">
        <v>1.9</v>
      </c>
      <c r="J897" s="208"/>
      <c r="K897" s="208">
        <v>1.9</v>
      </c>
      <c r="L897" s="208">
        <v>1.9</v>
      </c>
      <c r="O897">
        <v>1.9E-3</v>
      </c>
      <c r="P897">
        <v>1.0000000000000001E-7</v>
      </c>
      <c r="Q897">
        <v>1.0000000000000001E-7</v>
      </c>
    </row>
    <row r="898" spans="3:17">
      <c r="C898" t="s">
        <v>1335</v>
      </c>
      <c r="D898" t="s">
        <v>1324</v>
      </c>
      <c r="I898">
        <v>650</v>
      </c>
      <c r="K898">
        <v>650</v>
      </c>
      <c r="L898">
        <v>650</v>
      </c>
    </row>
    <row r="899" spans="3:17">
      <c r="C899" t="s">
        <v>1335</v>
      </c>
      <c r="D899" t="s">
        <v>1325</v>
      </c>
      <c r="I899">
        <v>0.05</v>
      </c>
      <c r="K899">
        <v>0.05</v>
      </c>
      <c r="L899">
        <v>0.05</v>
      </c>
    </row>
    <row r="900" spans="3:17">
      <c r="C900" t="s">
        <v>1335</v>
      </c>
      <c r="D900" t="s">
        <v>1326</v>
      </c>
      <c r="I900">
        <v>0.02</v>
      </c>
      <c r="K900">
        <v>0.02</v>
      </c>
      <c r="L900">
        <v>0.02</v>
      </c>
      <c r="O900">
        <v>650</v>
      </c>
      <c r="P900">
        <v>0.05</v>
      </c>
      <c r="Q900">
        <v>0.02</v>
      </c>
    </row>
    <row r="901" spans="3:17">
      <c r="C901" t="s">
        <v>717</v>
      </c>
      <c r="D901" s="208" t="s">
        <v>1327</v>
      </c>
      <c r="E901" s="208"/>
      <c r="F901" s="208"/>
      <c r="G901" s="208"/>
      <c r="H901" s="208"/>
      <c r="I901" s="208">
        <v>660</v>
      </c>
      <c r="J901" s="208"/>
      <c r="K901" s="208">
        <v>660</v>
      </c>
      <c r="L901" s="208">
        <v>660</v>
      </c>
      <c r="O901">
        <v>0.65</v>
      </c>
      <c r="P901">
        <v>5.0000000000000002E-5</v>
      </c>
      <c r="Q901">
        <v>2.0000000000000002E-5</v>
      </c>
    </row>
    <row r="902" spans="3:17">
      <c r="C902" t="s">
        <v>1336</v>
      </c>
      <c r="D902" t="s">
        <v>1324</v>
      </c>
      <c r="I902">
        <v>760</v>
      </c>
      <c r="K902">
        <v>740</v>
      </c>
      <c r="L902">
        <v>750</v>
      </c>
    </row>
    <row r="903" spans="3:17">
      <c r="C903" t="s">
        <v>1336</v>
      </c>
      <c r="D903" t="s">
        <v>1325</v>
      </c>
      <c r="I903">
        <v>0.04</v>
      </c>
      <c r="K903">
        <v>0.04</v>
      </c>
      <c r="L903">
        <v>0.04</v>
      </c>
    </row>
    <row r="904" spans="3:17">
      <c r="C904" t="s">
        <v>1336</v>
      </c>
      <c r="D904" t="s">
        <v>1326</v>
      </c>
      <c r="I904">
        <v>0.01</v>
      </c>
      <c r="K904">
        <v>0.01</v>
      </c>
      <c r="L904">
        <v>0.01</v>
      </c>
      <c r="O904">
        <v>750</v>
      </c>
      <c r="P904">
        <v>0.04</v>
      </c>
      <c r="Q904">
        <v>0.01</v>
      </c>
    </row>
    <row r="905" spans="3:17">
      <c r="C905" t="s">
        <v>721</v>
      </c>
      <c r="D905" s="208" t="s">
        <v>1327</v>
      </c>
      <c r="E905" s="208"/>
      <c r="F905" s="208"/>
      <c r="G905" s="208"/>
      <c r="H905" s="208"/>
      <c r="I905" s="208">
        <v>760</v>
      </c>
      <c r="J905" s="208"/>
      <c r="K905" s="208">
        <v>750</v>
      </c>
      <c r="L905" s="208">
        <v>750</v>
      </c>
      <c r="O905">
        <v>0.75</v>
      </c>
      <c r="P905">
        <v>4.0000000000000003E-5</v>
      </c>
      <c r="Q905">
        <v>1.0000000000000001E-5</v>
      </c>
    </row>
    <row r="906" spans="3:17">
      <c r="C906" t="s">
        <v>1337</v>
      </c>
      <c r="D906" t="s">
        <v>1324</v>
      </c>
      <c r="I906">
        <v>10.8</v>
      </c>
      <c r="K906">
        <v>11.2</v>
      </c>
      <c r="L906">
        <v>9</v>
      </c>
    </row>
    <row r="907" spans="3:17">
      <c r="C907" t="s">
        <v>1337</v>
      </c>
      <c r="D907" t="s">
        <v>1325</v>
      </c>
      <c r="I907">
        <v>3.0000000000000001E-3</v>
      </c>
      <c r="K907">
        <v>3.0000000000000001E-3</v>
      </c>
      <c r="L907">
        <v>3.0000000000000001E-3</v>
      </c>
    </row>
    <row r="908" spans="3:17">
      <c r="C908" t="s">
        <v>1337</v>
      </c>
      <c r="D908" t="s">
        <v>1326</v>
      </c>
      <c r="I908">
        <v>8.0000000000000004E-4</v>
      </c>
      <c r="K908">
        <v>8.0000000000000004E-4</v>
      </c>
      <c r="L908">
        <v>6.9999999999999999E-4</v>
      </c>
      <c r="O908">
        <v>9</v>
      </c>
      <c r="P908">
        <v>3.0000000000000001E-3</v>
      </c>
      <c r="Q908">
        <v>6.9999999999999999E-4</v>
      </c>
    </row>
    <row r="909" spans="3:17">
      <c r="C909" t="s">
        <v>724</v>
      </c>
      <c r="D909" s="208" t="s">
        <v>1327</v>
      </c>
      <c r="E909" s="208"/>
      <c r="F909" s="208"/>
      <c r="G909" s="208"/>
      <c r="H909" s="208"/>
      <c r="I909" s="208">
        <v>11.1</v>
      </c>
      <c r="J909" s="208"/>
      <c r="K909" s="208">
        <v>11</v>
      </c>
      <c r="L909" s="208">
        <v>9.3000000000000007</v>
      </c>
      <c r="O909">
        <v>8.9999999999999993E-3</v>
      </c>
      <c r="P909">
        <v>3.0000000000000001E-6</v>
      </c>
      <c r="Q909">
        <v>6.9999999999999997E-7</v>
      </c>
    </row>
    <row r="910" spans="3:17">
      <c r="C910" t="s">
        <v>1338</v>
      </c>
      <c r="D910" t="s">
        <v>1324</v>
      </c>
      <c r="I910">
        <v>43</v>
      </c>
      <c r="K910">
        <v>43</v>
      </c>
      <c r="L910">
        <v>48</v>
      </c>
    </row>
    <row r="911" spans="3:17">
      <c r="C911" t="s">
        <v>1338</v>
      </c>
      <c r="D911" t="s">
        <v>1325</v>
      </c>
      <c r="I911">
        <v>3.0000000000000001E-3</v>
      </c>
      <c r="K911">
        <v>3.0000000000000001E-3</v>
      </c>
      <c r="L911">
        <v>4.0000000000000001E-3</v>
      </c>
    </row>
    <row r="912" spans="3:17">
      <c r="C912" t="s">
        <v>1338</v>
      </c>
      <c r="D912" t="s">
        <v>1326</v>
      </c>
      <c r="I912">
        <v>0.01</v>
      </c>
      <c r="K912">
        <v>0.01</v>
      </c>
      <c r="L912">
        <v>0.01</v>
      </c>
      <c r="O912">
        <v>48</v>
      </c>
      <c r="P912">
        <v>4.0000000000000001E-3</v>
      </c>
      <c r="Q912">
        <v>0.01</v>
      </c>
    </row>
    <row r="913" spans="3:17">
      <c r="C913" t="s">
        <v>729</v>
      </c>
      <c r="D913" s="208" t="s">
        <v>1327</v>
      </c>
      <c r="E913" s="208"/>
      <c r="F913" s="208"/>
      <c r="G913" s="208"/>
      <c r="H913" s="208"/>
      <c r="I913" s="208">
        <v>45</v>
      </c>
      <c r="J913" s="208"/>
      <c r="K913" s="208">
        <v>45</v>
      </c>
      <c r="L913" s="208">
        <v>50</v>
      </c>
      <c r="O913">
        <v>4.8000000000000001E-2</v>
      </c>
      <c r="P913">
        <v>3.9999999999999998E-6</v>
      </c>
      <c r="Q913">
        <v>1.0000000000000001E-5</v>
      </c>
    </row>
    <row r="914" spans="3:17">
      <c r="C914" t="s">
        <v>1339</v>
      </c>
      <c r="D914" t="s">
        <v>1324</v>
      </c>
      <c r="I914">
        <v>190</v>
      </c>
      <c r="K914">
        <v>190</v>
      </c>
      <c r="L914">
        <v>170</v>
      </c>
    </row>
    <row r="915" spans="3:17">
      <c r="C915" t="s">
        <v>1339</v>
      </c>
      <c r="D915" t="s">
        <v>1325</v>
      </c>
      <c r="I915">
        <v>0.01</v>
      </c>
      <c r="K915">
        <v>0.01</v>
      </c>
      <c r="L915">
        <v>0.01</v>
      </c>
    </row>
    <row r="916" spans="3:17">
      <c r="C916" t="s">
        <v>1339</v>
      </c>
      <c r="D916" t="s">
        <v>1326</v>
      </c>
      <c r="I916">
        <v>0.03</v>
      </c>
      <c r="K916">
        <v>0.03</v>
      </c>
      <c r="L916">
        <v>0.02</v>
      </c>
      <c r="O916">
        <v>170</v>
      </c>
      <c r="P916">
        <v>0.01</v>
      </c>
      <c r="Q916">
        <v>0.02</v>
      </c>
    </row>
    <row r="917" spans="3:17">
      <c r="C917" t="s">
        <v>732</v>
      </c>
      <c r="D917" s="208" t="s">
        <v>1327</v>
      </c>
      <c r="E917" s="208"/>
      <c r="F917" s="208"/>
      <c r="G917" s="208"/>
      <c r="H917" s="208"/>
      <c r="I917" s="208">
        <v>200</v>
      </c>
      <c r="J917" s="208"/>
      <c r="K917" s="208">
        <v>200</v>
      </c>
      <c r="L917" s="208">
        <v>180</v>
      </c>
      <c r="O917">
        <v>0.17</v>
      </c>
      <c r="P917">
        <v>1.0000000000000001E-5</v>
      </c>
      <c r="Q917">
        <v>2.0000000000000002E-5</v>
      </c>
    </row>
    <row r="920" spans="3:17">
      <c r="C920" t="s">
        <v>737</v>
      </c>
      <c r="O920">
        <v>0.96799999999999997</v>
      </c>
      <c r="P920">
        <v>0</v>
      </c>
      <c r="Q920">
        <v>0</v>
      </c>
    </row>
    <row r="921" spans="3:17">
      <c r="C921" t="s">
        <v>741</v>
      </c>
      <c r="O921">
        <v>1.1082000000000001</v>
      </c>
      <c r="P921">
        <v>0</v>
      </c>
      <c r="Q921">
        <v>0</v>
      </c>
    </row>
    <row r="922" spans="3:17">
      <c r="C922" t="s">
        <v>745</v>
      </c>
      <c r="O922">
        <v>0.80459999999999998</v>
      </c>
      <c r="P922">
        <v>0</v>
      </c>
      <c r="Q922">
        <v>0</v>
      </c>
    </row>
    <row r="923" spans="3:17">
      <c r="C923" t="s">
        <v>749</v>
      </c>
      <c r="O923">
        <v>0.90139999999999998</v>
      </c>
      <c r="P923">
        <v>0</v>
      </c>
      <c r="Q923">
        <v>0</v>
      </c>
    </row>
    <row r="924" spans="3:17">
      <c r="C924" t="s">
        <v>751</v>
      </c>
      <c r="O924">
        <v>0.91549999999999998</v>
      </c>
      <c r="P924">
        <v>0</v>
      </c>
      <c r="Q924">
        <v>0</v>
      </c>
    </row>
    <row r="925" spans="3:17">
      <c r="C925" t="s">
        <v>753</v>
      </c>
      <c r="O925">
        <v>0.8367</v>
      </c>
      <c r="P925">
        <v>0</v>
      </c>
      <c r="Q925">
        <v>0</v>
      </c>
    </row>
    <row r="926" spans="3:17">
      <c r="C926" t="s">
        <v>756</v>
      </c>
      <c r="O926">
        <v>0</v>
      </c>
      <c r="P926">
        <v>0</v>
      </c>
      <c r="Q926">
        <v>0</v>
      </c>
    </row>
    <row r="931" spans="3:14" ht="15.5">
      <c r="C931" s="213" t="s">
        <v>1340</v>
      </c>
      <c r="D931" s="214" t="s">
        <v>1341</v>
      </c>
      <c r="E931" s="215"/>
      <c r="F931" s="215"/>
      <c r="G931" s="215"/>
      <c r="H931" s="215"/>
      <c r="I931" s="215"/>
      <c r="J931" s="215"/>
      <c r="K931" s="215"/>
      <c r="L931" s="215"/>
      <c r="M931" s="216"/>
      <c r="N931" s="2"/>
    </row>
    <row r="932" spans="3:14" ht="15" thickBot="1">
      <c r="C932" s="2"/>
      <c r="D932" s="2"/>
      <c r="E932" s="2"/>
      <c r="F932" s="2"/>
      <c r="G932" s="2"/>
      <c r="H932" s="2"/>
      <c r="I932" s="2"/>
      <c r="J932" s="2"/>
      <c r="K932" s="2"/>
      <c r="L932" s="2"/>
      <c r="M932" s="2"/>
      <c r="N932" s="2"/>
    </row>
    <row r="933" spans="3:14" ht="39.5" thickBot="1">
      <c r="C933" s="2"/>
      <c r="D933" s="217" t="s">
        <v>1342</v>
      </c>
      <c r="E933" s="218" t="s">
        <v>1343</v>
      </c>
      <c r="F933" s="219"/>
      <c r="G933" s="2"/>
      <c r="H933" s="2"/>
      <c r="I933" s="2"/>
      <c r="J933" s="2"/>
      <c r="K933" s="2"/>
      <c r="L933" s="2"/>
      <c r="M933" s="2"/>
      <c r="N933" s="2"/>
    </row>
    <row r="934" spans="3:14" ht="15.5">
      <c r="C934" s="2"/>
      <c r="D934" s="220" t="s">
        <v>1344</v>
      </c>
      <c r="E934" s="221">
        <v>1</v>
      </c>
      <c r="F934" s="2"/>
      <c r="G934" s="2"/>
      <c r="H934" s="2"/>
      <c r="I934" s="2"/>
      <c r="J934" s="2"/>
      <c r="K934" s="2"/>
      <c r="L934" s="2"/>
      <c r="M934" s="2"/>
      <c r="N934" s="2"/>
    </row>
    <row r="935" spans="3:14" ht="15.5">
      <c r="C935" s="2"/>
      <c r="D935" s="138" t="s">
        <v>1345</v>
      </c>
      <c r="E935" s="222">
        <v>25</v>
      </c>
      <c r="F935" s="2"/>
      <c r="G935" s="2"/>
      <c r="H935" s="2"/>
      <c r="I935" s="2"/>
      <c r="J935" s="2"/>
      <c r="K935" s="2"/>
      <c r="L935" s="2"/>
      <c r="M935" s="2"/>
      <c r="N935" s="2"/>
    </row>
    <row r="936" spans="3:14" ht="15.5">
      <c r="C936" s="2"/>
      <c r="D936" s="138" t="s">
        <v>1346</v>
      </c>
      <c r="E936" s="222">
        <v>298</v>
      </c>
      <c r="F936" s="106"/>
      <c r="G936" s="2"/>
      <c r="H936" s="2"/>
      <c r="I936" s="2"/>
      <c r="J936" s="2"/>
      <c r="K936" s="2"/>
      <c r="L936" s="2"/>
      <c r="M936" s="2"/>
      <c r="N936" s="2"/>
    </row>
    <row r="937" spans="3:14">
      <c r="C937" s="2"/>
      <c r="D937" s="138" t="s">
        <v>1347</v>
      </c>
      <c r="E937" s="222">
        <v>14800</v>
      </c>
      <c r="F937" s="2"/>
      <c r="G937" s="2"/>
      <c r="H937" s="2"/>
      <c r="I937" s="2"/>
      <c r="J937" s="2"/>
      <c r="K937" s="2"/>
      <c r="L937" s="2"/>
      <c r="M937" s="2"/>
      <c r="N937" s="2"/>
    </row>
    <row r="938" spans="3:14">
      <c r="C938" s="2"/>
      <c r="D938" s="138" t="s">
        <v>1348</v>
      </c>
      <c r="E938" s="222">
        <v>675</v>
      </c>
      <c r="F938" s="2"/>
      <c r="G938" s="2"/>
      <c r="H938" s="2"/>
      <c r="I938" s="2"/>
      <c r="J938" s="2"/>
      <c r="K938" s="2"/>
      <c r="L938" s="2"/>
      <c r="M938" s="2"/>
      <c r="N938" s="2"/>
    </row>
    <row r="939" spans="3:14">
      <c r="C939" s="2"/>
      <c r="D939" s="138" t="s">
        <v>1349</v>
      </c>
      <c r="E939" s="222">
        <v>92</v>
      </c>
      <c r="F939" s="2"/>
      <c r="G939" s="2"/>
      <c r="H939" s="2"/>
      <c r="I939" s="2"/>
      <c r="J939" s="2"/>
      <c r="K939" s="2"/>
      <c r="L939" s="2"/>
      <c r="M939" s="2"/>
      <c r="N939" s="2"/>
    </row>
    <row r="940" spans="3:14">
      <c r="C940" s="2"/>
      <c r="D940" s="138" t="s">
        <v>1350</v>
      </c>
      <c r="E940" s="222">
        <v>3500</v>
      </c>
      <c r="F940" s="2"/>
      <c r="G940" s="2"/>
      <c r="H940" s="1053"/>
      <c r="I940" s="1053"/>
      <c r="J940" s="1053"/>
      <c r="K940" s="1053"/>
      <c r="L940" s="1053"/>
      <c r="M940" s="1053"/>
      <c r="N940" s="1053"/>
    </row>
    <row r="941" spans="3:14">
      <c r="C941" s="2"/>
      <c r="D941" s="138" t="s">
        <v>1351</v>
      </c>
      <c r="E941" s="222">
        <v>1100</v>
      </c>
      <c r="F941" s="2"/>
      <c r="G941" s="2"/>
      <c r="H941" s="1053"/>
      <c r="I941" s="1053"/>
      <c r="J941" s="1053"/>
      <c r="K941" s="1053"/>
      <c r="L941" s="1053"/>
      <c r="M941" s="1053"/>
      <c r="N941" s="1053"/>
    </row>
    <row r="942" spans="3:14">
      <c r="C942" s="2"/>
      <c r="D942" s="138" t="s">
        <v>1352</v>
      </c>
      <c r="E942" s="222">
        <v>1430</v>
      </c>
      <c r="F942" s="2"/>
      <c r="G942" s="2"/>
      <c r="H942" s="2"/>
      <c r="I942" s="2"/>
      <c r="J942" s="2"/>
      <c r="K942" s="2"/>
      <c r="L942" s="2"/>
      <c r="M942" s="2"/>
      <c r="N942" s="2"/>
    </row>
    <row r="943" spans="3:14">
      <c r="C943" s="2"/>
      <c r="D943" s="138" t="s">
        <v>1353</v>
      </c>
      <c r="E943" s="222">
        <v>353</v>
      </c>
      <c r="F943" s="2"/>
      <c r="G943" s="2"/>
      <c r="H943" s="2"/>
      <c r="I943" s="2"/>
      <c r="J943" s="2"/>
      <c r="K943" s="2"/>
      <c r="L943" s="2"/>
      <c r="M943" s="2"/>
      <c r="N943" s="2"/>
    </row>
    <row r="944" spans="3:14">
      <c r="C944" s="2"/>
      <c r="D944" s="15" t="s">
        <v>1354</v>
      </c>
      <c r="E944" s="222">
        <v>4470</v>
      </c>
      <c r="F944" s="2"/>
      <c r="G944" s="2"/>
      <c r="H944" s="2"/>
      <c r="I944" s="2"/>
      <c r="J944" s="2"/>
      <c r="K944" s="2"/>
      <c r="L944" s="2"/>
      <c r="M944" s="2"/>
      <c r="N944" s="2"/>
    </row>
    <row r="945" spans="3:14">
      <c r="C945" s="2"/>
      <c r="D945" s="138" t="s">
        <v>1355</v>
      </c>
      <c r="E945" s="222">
        <v>53</v>
      </c>
      <c r="F945" s="2"/>
      <c r="G945" s="2"/>
      <c r="H945" s="2"/>
      <c r="I945" s="2"/>
      <c r="J945" s="2"/>
      <c r="K945" s="2"/>
      <c r="L945" s="2"/>
      <c r="M945" s="2"/>
      <c r="N945" s="2"/>
    </row>
    <row r="946" spans="3:14">
      <c r="C946" s="2"/>
      <c r="D946" s="138" t="s">
        <v>1356</v>
      </c>
      <c r="E946" s="222">
        <v>124</v>
      </c>
      <c r="F946" s="2"/>
      <c r="G946" s="2"/>
      <c r="H946" s="2"/>
      <c r="I946" s="2"/>
      <c r="J946" s="2"/>
      <c r="K946" s="2"/>
      <c r="L946" s="2"/>
      <c r="M946" s="2"/>
      <c r="N946" s="2"/>
    </row>
    <row r="947" spans="3:14">
      <c r="C947" s="2"/>
      <c r="D947" s="138" t="s">
        <v>1357</v>
      </c>
      <c r="E947" s="222">
        <v>12</v>
      </c>
      <c r="F947" s="2"/>
      <c r="G947" s="2"/>
      <c r="H947" s="2"/>
      <c r="I947" s="2"/>
      <c r="J947" s="2"/>
      <c r="K947" s="2"/>
      <c r="L947" s="2"/>
      <c r="M947" s="2"/>
      <c r="N947" s="2"/>
    </row>
    <row r="948" spans="3:14">
      <c r="C948" s="2"/>
      <c r="D948" s="138" t="s">
        <v>1358</v>
      </c>
      <c r="E948" s="222">
        <v>3220</v>
      </c>
      <c r="F948" s="2"/>
      <c r="G948" s="2"/>
      <c r="H948" s="1053"/>
      <c r="I948" s="1053"/>
      <c r="J948" s="1053"/>
      <c r="K948" s="1053"/>
      <c r="L948" s="1053"/>
      <c r="M948" s="1053"/>
      <c r="N948" s="1053"/>
    </row>
    <row r="949" spans="3:14">
      <c r="C949" s="2"/>
      <c r="D949" s="138" t="s">
        <v>1359</v>
      </c>
      <c r="E949" s="222">
        <v>1340</v>
      </c>
      <c r="F949" s="2"/>
      <c r="G949" s="2"/>
      <c r="H949" s="1053"/>
      <c r="I949" s="1053"/>
      <c r="J949" s="1053"/>
      <c r="K949" s="1053"/>
      <c r="L949" s="1053"/>
      <c r="M949" s="1053"/>
      <c r="N949" s="1053"/>
    </row>
    <row r="950" spans="3:14">
      <c r="C950" s="2"/>
      <c r="D950" s="138" t="s">
        <v>1360</v>
      </c>
      <c r="E950" s="222">
        <v>1370</v>
      </c>
      <c r="F950" s="2"/>
      <c r="G950" s="2"/>
      <c r="H950" s="2"/>
      <c r="I950" s="2"/>
      <c r="J950" s="2"/>
      <c r="K950" s="2"/>
      <c r="L950" s="2"/>
      <c r="M950" s="2"/>
      <c r="N950" s="2"/>
    </row>
    <row r="951" spans="3:14">
      <c r="C951" s="2"/>
      <c r="D951" s="138" t="s">
        <v>1361</v>
      </c>
      <c r="E951" s="222">
        <v>9810</v>
      </c>
      <c r="F951" s="2"/>
      <c r="G951" s="2"/>
      <c r="H951" s="2"/>
      <c r="I951" s="2"/>
      <c r="J951" s="2"/>
      <c r="K951" s="2"/>
      <c r="L951" s="2"/>
      <c r="M951" s="2"/>
      <c r="N951" s="2"/>
    </row>
    <row r="952" spans="3:14">
      <c r="C952" s="2"/>
      <c r="D952" s="15" t="s">
        <v>1362</v>
      </c>
      <c r="E952" s="222">
        <v>693</v>
      </c>
      <c r="F952" s="2"/>
      <c r="G952" s="2"/>
      <c r="H952" s="2"/>
      <c r="I952" s="2"/>
      <c r="J952" s="2"/>
      <c r="K952" s="2"/>
      <c r="L952" s="2"/>
      <c r="M952" s="2"/>
      <c r="N952" s="2"/>
    </row>
    <row r="953" spans="3:14">
      <c r="C953" s="2"/>
      <c r="D953" s="138" t="s">
        <v>1363</v>
      </c>
      <c r="E953" s="222">
        <v>1030</v>
      </c>
      <c r="F953" s="2"/>
      <c r="G953" s="2"/>
      <c r="H953" s="2"/>
      <c r="I953" s="2"/>
      <c r="J953" s="2"/>
      <c r="K953" s="2"/>
      <c r="L953" s="2"/>
      <c r="M953" s="2"/>
      <c r="N953" s="2"/>
    </row>
    <row r="954" spans="3:14">
      <c r="C954" s="2"/>
      <c r="D954" s="138" t="s">
        <v>1364</v>
      </c>
      <c r="E954" s="222">
        <v>794</v>
      </c>
      <c r="F954" s="2"/>
      <c r="G954" s="2"/>
      <c r="H954" s="2"/>
      <c r="I954" s="2"/>
      <c r="J954" s="2"/>
      <c r="K954" s="2"/>
      <c r="L954" s="2"/>
      <c r="M954" s="2"/>
      <c r="N954" s="2"/>
    </row>
    <row r="955" spans="3:14">
      <c r="C955" s="2"/>
      <c r="D955" s="15" t="s">
        <v>1365</v>
      </c>
      <c r="E955" s="222">
        <v>1640</v>
      </c>
      <c r="F955" s="2"/>
      <c r="G955" s="2"/>
      <c r="H955" s="2"/>
      <c r="I955" s="2"/>
      <c r="J955" s="2"/>
      <c r="K955" s="2"/>
      <c r="L955" s="2"/>
      <c r="M955" s="2"/>
      <c r="N955" s="2"/>
    </row>
    <row r="956" spans="3:14" ht="15.5">
      <c r="C956" s="2"/>
      <c r="D956" s="138" t="s">
        <v>1366</v>
      </c>
      <c r="E956" s="222">
        <v>22800</v>
      </c>
      <c r="F956" s="2"/>
      <c r="G956" s="2"/>
      <c r="H956" s="2"/>
      <c r="I956" s="2"/>
      <c r="J956" s="2"/>
      <c r="K956" s="2"/>
      <c r="L956" s="2"/>
      <c r="M956" s="2"/>
      <c r="N956" s="2"/>
    </row>
    <row r="957" spans="3:14" ht="15.5">
      <c r="C957" s="2"/>
      <c r="D957" s="138" t="s">
        <v>1367</v>
      </c>
      <c r="E957" s="222">
        <v>17200</v>
      </c>
      <c r="F957" s="2"/>
      <c r="G957" s="2"/>
      <c r="H957" s="2"/>
      <c r="I957" s="2"/>
      <c r="J957" s="2"/>
      <c r="K957" s="2"/>
      <c r="L957" s="2"/>
      <c r="M957" s="2"/>
      <c r="N957" s="2"/>
    </row>
    <row r="958" spans="3:14" ht="15.5">
      <c r="C958" s="2"/>
      <c r="D958" s="15" t="s">
        <v>1368</v>
      </c>
      <c r="E958" s="222">
        <v>7390</v>
      </c>
      <c r="F958" s="2"/>
      <c r="G958" s="2"/>
      <c r="H958" s="2"/>
      <c r="I958" s="2"/>
      <c r="J958" s="2"/>
      <c r="K958" s="2"/>
      <c r="L958" s="2"/>
      <c r="M958" s="2"/>
      <c r="N958" s="2"/>
    </row>
    <row r="959" spans="3:14" ht="15.5">
      <c r="C959" s="2"/>
      <c r="D959" s="15" t="s">
        <v>1369</v>
      </c>
      <c r="E959" s="222">
        <v>12200</v>
      </c>
      <c r="F959" s="2"/>
      <c r="G959" s="2"/>
      <c r="H959" s="2"/>
      <c r="I959" s="2"/>
      <c r="J959" s="2"/>
      <c r="K959" s="2"/>
      <c r="L959" s="2"/>
      <c r="M959" s="2"/>
      <c r="N959" s="2"/>
    </row>
    <row r="960" spans="3:14" ht="15.5">
      <c r="C960" s="2"/>
      <c r="D960" s="15" t="s">
        <v>1370</v>
      </c>
      <c r="E960" s="222">
        <v>8830</v>
      </c>
      <c r="F960" s="2"/>
      <c r="G960" s="2"/>
      <c r="H960" s="2"/>
      <c r="I960" s="2"/>
      <c r="J960" s="2"/>
      <c r="K960" s="2"/>
      <c r="L960" s="2"/>
      <c r="M960" s="2"/>
      <c r="N960" s="2"/>
    </row>
    <row r="961" spans="3:14" ht="15.5">
      <c r="C961" s="2"/>
      <c r="D961" s="15" t="s">
        <v>1371</v>
      </c>
      <c r="E961" s="223">
        <v>10300</v>
      </c>
      <c r="F961" s="2"/>
      <c r="G961" s="2"/>
      <c r="H961" s="2"/>
      <c r="I961" s="2"/>
      <c r="J961" s="2"/>
      <c r="K961" s="2"/>
      <c r="L961" s="2"/>
      <c r="M961" s="2"/>
      <c r="N961" s="2"/>
    </row>
    <row r="962" spans="3:14" ht="15.5">
      <c r="C962" s="2"/>
      <c r="D962" s="15" t="s">
        <v>1372</v>
      </c>
      <c r="E962" s="222">
        <v>8860</v>
      </c>
      <c r="F962" s="2"/>
      <c r="G962" s="2"/>
      <c r="H962" s="2"/>
      <c r="I962" s="2"/>
      <c r="J962" s="2"/>
      <c r="K962" s="2"/>
      <c r="L962" s="2"/>
      <c r="M962" s="2"/>
      <c r="N962" s="2"/>
    </row>
    <row r="963" spans="3:14" ht="15.5">
      <c r="C963" s="2"/>
      <c r="D963" s="15" t="s">
        <v>1373</v>
      </c>
      <c r="E963" s="222">
        <v>9160</v>
      </c>
      <c r="F963" s="2"/>
      <c r="G963" s="2"/>
      <c r="H963" s="2"/>
      <c r="I963" s="2"/>
      <c r="J963" s="2"/>
      <c r="K963" s="2"/>
      <c r="L963" s="2"/>
      <c r="M963" s="2"/>
      <c r="N963" s="2"/>
    </row>
    <row r="964" spans="3:14" ht="15.5">
      <c r="C964" s="2"/>
      <c r="D964" s="15" t="s">
        <v>1374</v>
      </c>
      <c r="E964" s="222">
        <v>9300</v>
      </c>
      <c r="F964" s="2"/>
      <c r="G964" s="2"/>
      <c r="H964" s="2"/>
      <c r="I964" s="2"/>
      <c r="J964" s="2"/>
      <c r="K964" s="2"/>
      <c r="L964" s="2"/>
      <c r="M964" s="2"/>
      <c r="N964" s="2"/>
    </row>
    <row r="965" spans="3:14" ht="16" thickBot="1">
      <c r="C965" s="2"/>
      <c r="D965" s="148" t="s">
        <v>1375</v>
      </c>
      <c r="E965" s="224" t="s">
        <v>1376</v>
      </c>
      <c r="F965" s="2"/>
      <c r="G965" s="2"/>
      <c r="H965" s="2"/>
      <c r="I965" s="2"/>
      <c r="J965" s="2"/>
      <c r="K965" s="2"/>
      <c r="L965" s="2"/>
      <c r="M965" s="2"/>
      <c r="N965" s="2"/>
    </row>
    <row r="966" spans="3:14">
      <c r="C966" s="2"/>
      <c r="D966" s="1020" t="s">
        <v>1377</v>
      </c>
      <c r="E966" s="1020"/>
      <c r="F966" s="1020"/>
      <c r="G966" s="1020"/>
      <c r="H966" s="1020"/>
      <c r="I966" s="1020"/>
      <c r="J966" s="1020"/>
      <c r="K966" s="1020"/>
      <c r="L966" s="1020"/>
      <c r="M966" s="1043"/>
      <c r="N966" s="2"/>
    </row>
    <row r="967" spans="3:14">
      <c r="C967" s="2"/>
      <c r="D967" s="2"/>
      <c r="E967" s="2"/>
      <c r="F967" s="2"/>
      <c r="G967" s="2"/>
      <c r="H967" s="2"/>
      <c r="I967" s="2"/>
      <c r="J967" s="2"/>
      <c r="K967" s="2"/>
      <c r="L967" s="2"/>
      <c r="M967" s="2"/>
      <c r="N967" s="2"/>
    </row>
    <row r="968" spans="3:14" ht="15.5">
      <c r="C968" s="213" t="s">
        <v>1378</v>
      </c>
      <c r="D968" s="214" t="s">
        <v>1379</v>
      </c>
      <c r="E968" s="215"/>
      <c r="F968" s="215"/>
      <c r="G968" s="215"/>
      <c r="H968" s="215"/>
      <c r="I968" s="215"/>
      <c r="J968" s="215"/>
      <c r="K968" s="215"/>
      <c r="L968" s="215"/>
      <c r="M968" s="216"/>
      <c r="N968" s="2"/>
    </row>
    <row r="969" spans="3:14" ht="16" thickBot="1">
      <c r="C969" s="225"/>
      <c r="D969" s="226"/>
      <c r="E969" s="2"/>
      <c r="F969" s="2"/>
      <c r="G969" s="2"/>
      <c r="H969" s="2"/>
      <c r="I969" s="2"/>
      <c r="J969" s="2"/>
      <c r="K969" s="2"/>
      <c r="L969" s="2"/>
      <c r="M969" s="2"/>
      <c r="N969" s="2"/>
    </row>
    <row r="970" spans="3:14" ht="26.5" thickBot="1">
      <c r="C970" s="2"/>
      <c r="D970" s="227" t="s">
        <v>1380</v>
      </c>
      <c r="E970" s="228" t="s">
        <v>1381</v>
      </c>
      <c r="F970" s="1044" t="s">
        <v>1382</v>
      </c>
      <c r="G970" s="1045"/>
      <c r="H970" s="1045"/>
      <c r="I970" s="1046"/>
      <c r="J970" s="2"/>
      <c r="K970" s="2"/>
      <c r="L970" s="2"/>
      <c r="M970" s="2"/>
      <c r="N970" s="2"/>
    </row>
    <row r="971" spans="3:14">
      <c r="C971" s="2"/>
      <c r="D971" s="162" t="s">
        <v>246</v>
      </c>
      <c r="E971" s="229">
        <v>16</v>
      </c>
      <c r="F971" s="1047" t="s">
        <v>1383</v>
      </c>
      <c r="G971" s="1048"/>
      <c r="H971" s="1048"/>
      <c r="I971" s="1049"/>
      <c r="J971" s="230"/>
      <c r="K971" s="2"/>
      <c r="L971" s="2"/>
      <c r="M971" s="2"/>
      <c r="N971" s="2"/>
    </row>
    <row r="972" spans="3:14">
      <c r="C972" s="2"/>
      <c r="D972" s="15" t="s">
        <v>248</v>
      </c>
      <c r="E972" s="231">
        <v>14</v>
      </c>
      <c r="F972" s="1050" t="s">
        <v>1384</v>
      </c>
      <c r="G972" s="1051"/>
      <c r="H972" s="1051"/>
      <c r="I972" s="1052"/>
      <c r="J972" s="230"/>
      <c r="K972" s="2"/>
      <c r="L972" s="2"/>
      <c r="M972" s="2"/>
      <c r="N972" s="2"/>
    </row>
    <row r="973" spans="3:14">
      <c r="C973" s="2"/>
      <c r="D973" s="15" t="s">
        <v>249</v>
      </c>
      <c r="E973" s="231">
        <v>19</v>
      </c>
      <c r="F973" s="1050" t="s">
        <v>1385</v>
      </c>
      <c r="G973" s="1051"/>
      <c r="H973" s="1051"/>
      <c r="I973" s="1052"/>
      <c r="J973" s="230"/>
      <c r="K973" s="2"/>
      <c r="L973" s="2"/>
      <c r="M973" s="2"/>
      <c r="N973" s="2"/>
    </row>
    <row r="974" spans="3:14">
      <c r="C974" s="2"/>
      <c r="D974" s="15" t="s">
        <v>250</v>
      </c>
      <c r="E974" s="231">
        <v>2100</v>
      </c>
      <c r="F974" s="1050" t="s">
        <v>1386</v>
      </c>
      <c r="G974" s="1051"/>
      <c r="H974" s="1051"/>
      <c r="I974" s="1052"/>
      <c r="J974" s="230"/>
      <c r="K974" s="2"/>
      <c r="L974" s="2"/>
      <c r="M974" s="2"/>
      <c r="N974" s="2"/>
    </row>
    <row r="975" spans="3:14">
      <c r="C975" s="2"/>
      <c r="D975" s="15" t="s">
        <v>251</v>
      </c>
      <c r="E975" s="231">
        <v>1330</v>
      </c>
      <c r="F975" s="1050" t="s">
        <v>1387</v>
      </c>
      <c r="G975" s="1051"/>
      <c r="H975" s="1051"/>
      <c r="I975" s="1052"/>
      <c r="J975" s="230"/>
      <c r="K975" s="2"/>
      <c r="L975" s="2"/>
      <c r="M975" s="2"/>
      <c r="N975" s="2"/>
    </row>
    <row r="976" spans="3:14">
      <c r="C976" s="2"/>
      <c r="D976" s="15" t="s">
        <v>254</v>
      </c>
      <c r="E976" s="231">
        <v>3444</v>
      </c>
      <c r="F976" s="1050" t="s">
        <v>1388</v>
      </c>
      <c r="G976" s="1051"/>
      <c r="H976" s="1051"/>
      <c r="I976" s="1052"/>
      <c r="J976" s="230"/>
      <c r="K976" s="2"/>
      <c r="L976" s="2"/>
      <c r="M976" s="2"/>
      <c r="N976" s="2"/>
    </row>
    <row r="977" spans="3:14">
      <c r="C977" s="2"/>
      <c r="D977" s="15" t="s">
        <v>255</v>
      </c>
      <c r="E977" s="231">
        <v>3922</v>
      </c>
      <c r="F977" s="1050" t="s">
        <v>1389</v>
      </c>
      <c r="G977" s="1051"/>
      <c r="H977" s="1051"/>
      <c r="I977" s="1052"/>
      <c r="J977" s="230"/>
      <c r="K977" s="2"/>
      <c r="L977" s="2"/>
      <c r="M977" s="2"/>
      <c r="N977" s="2"/>
    </row>
    <row r="978" spans="3:14">
      <c r="C978" s="2"/>
      <c r="D978" s="15" t="s">
        <v>1390</v>
      </c>
      <c r="E978" s="231">
        <v>0</v>
      </c>
      <c r="F978" s="1050" t="s">
        <v>1391</v>
      </c>
      <c r="G978" s="1051"/>
      <c r="H978" s="1051"/>
      <c r="I978" s="1052"/>
      <c r="J978" s="230"/>
      <c r="K978" s="2"/>
      <c r="L978" s="2"/>
      <c r="M978" s="2"/>
      <c r="N978" s="2"/>
    </row>
    <row r="979" spans="3:14">
      <c r="C979" s="2"/>
      <c r="D979" s="15" t="s">
        <v>256</v>
      </c>
      <c r="E979" s="231">
        <v>2107</v>
      </c>
      <c r="F979" s="1050" t="s">
        <v>1392</v>
      </c>
      <c r="G979" s="1051"/>
      <c r="H979" s="1051"/>
      <c r="I979" s="1052"/>
      <c r="J979" s="230"/>
      <c r="K979" s="2"/>
      <c r="L979" s="2"/>
      <c r="M979" s="2"/>
      <c r="N979" s="2"/>
    </row>
    <row r="980" spans="3:14">
      <c r="C980" s="2"/>
      <c r="D980" s="15" t="s">
        <v>257</v>
      </c>
      <c r="E980" s="231">
        <v>2804</v>
      </c>
      <c r="F980" s="1050" t="s">
        <v>1393</v>
      </c>
      <c r="G980" s="1051"/>
      <c r="H980" s="1051"/>
      <c r="I980" s="1052"/>
      <c r="J980" s="230"/>
      <c r="K980" s="2"/>
      <c r="L980" s="2"/>
      <c r="M980" s="2"/>
      <c r="N980" s="2"/>
    </row>
    <row r="981" spans="3:14">
      <c r="C981" s="2"/>
      <c r="D981" s="15" t="s">
        <v>258</v>
      </c>
      <c r="E981" s="231">
        <v>1774</v>
      </c>
      <c r="F981" s="1050" t="s">
        <v>1394</v>
      </c>
      <c r="G981" s="1051"/>
      <c r="H981" s="1051"/>
      <c r="I981" s="1052"/>
      <c r="J981" s="230"/>
      <c r="K981" s="2"/>
      <c r="L981" s="2"/>
      <c r="M981" s="2"/>
      <c r="N981" s="2"/>
    </row>
    <row r="982" spans="3:14">
      <c r="C982" s="2"/>
      <c r="D982" s="15" t="s">
        <v>259</v>
      </c>
      <c r="E982" s="231">
        <v>1627</v>
      </c>
      <c r="F982" s="1050" t="s">
        <v>1395</v>
      </c>
      <c r="G982" s="1051"/>
      <c r="H982" s="1051"/>
      <c r="I982" s="1052"/>
      <c r="J982" s="230"/>
      <c r="K982" s="2"/>
      <c r="L982" s="2"/>
      <c r="M982" s="2"/>
      <c r="N982" s="2"/>
    </row>
    <row r="983" spans="3:14">
      <c r="C983" s="2"/>
      <c r="D983" s="15" t="s">
        <v>260</v>
      </c>
      <c r="E983" s="231">
        <v>1552</v>
      </c>
      <c r="F983" s="1050" t="s">
        <v>1396</v>
      </c>
      <c r="G983" s="1051"/>
      <c r="H983" s="1051"/>
      <c r="I983" s="1052"/>
      <c r="J983" s="230"/>
      <c r="K983" s="2"/>
      <c r="L983" s="2"/>
      <c r="M983" s="2"/>
      <c r="N983" s="2"/>
    </row>
    <row r="984" spans="3:14">
      <c r="C984" s="2"/>
      <c r="D984" s="15" t="s">
        <v>262</v>
      </c>
      <c r="E984" s="231">
        <v>2301</v>
      </c>
      <c r="F984" s="1050" t="s">
        <v>1397</v>
      </c>
      <c r="G984" s="1051"/>
      <c r="H984" s="1051"/>
      <c r="I984" s="1052"/>
      <c r="J984" s="230"/>
      <c r="K984" s="2"/>
      <c r="L984" s="2"/>
      <c r="M984" s="2"/>
      <c r="N984" s="2"/>
    </row>
    <row r="985" spans="3:14">
      <c r="C985" s="2"/>
      <c r="D985" s="15" t="s">
        <v>1398</v>
      </c>
      <c r="E985" s="231">
        <v>0</v>
      </c>
      <c r="F985" s="1050" t="s">
        <v>1399</v>
      </c>
      <c r="G985" s="1051"/>
      <c r="H985" s="1051"/>
      <c r="I985" s="1052"/>
      <c r="J985" s="230"/>
      <c r="K985" s="2"/>
      <c r="L985" s="2"/>
      <c r="M985" s="2"/>
      <c r="N985" s="2"/>
    </row>
    <row r="986" spans="3:14">
      <c r="C986" s="2"/>
      <c r="D986" s="15" t="s">
        <v>263</v>
      </c>
      <c r="E986" s="231">
        <v>2088</v>
      </c>
      <c r="F986" s="1050" t="s">
        <v>1400</v>
      </c>
      <c r="G986" s="1051"/>
      <c r="H986" s="1051"/>
      <c r="I986" s="1052"/>
      <c r="J986" s="230"/>
      <c r="K986" s="2"/>
      <c r="L986" s="2"/>
      <c r="M986" s="2"/>
      <c r="N986" s="2"/>
    </row>
    <row r="987" spans="3:14">
      <c r="C987" s="2"/>
      <c r="D987" s="15" t="s">
        <v>264</v>
      </c>
      <c r="E987" s="231">
        <v>2229</v>
      </c>
      <c r="F987" s="1050" t="s">
        <v>1401</v>
      </c>
      <c r="G987" s="1051"/>
      <c r="H987" s="1051"/>
      <c r="I987" s="1052"/>
      <c r="J987" s="230"/>
      <c r="K987" s="2"/>
      <c r="L987" s="2"/>
      <c r="M987" s="2"/>
      <c r="N987" s="2"/>
    </row>
    <row r="988" spans="3:14">
      <c r="C988" s="2"/>
      <c r="D988" s="15" t="s">
        <v>265</v>
      </c>
      <c r="E988" s="231">
        <v>14</v>
      </c>
      <c r="F988" s="1050" t="s">
        <v>1402</v>
      </c>
      <c r="G988" s="1051"/>
      <c r="H988" s="1051"/>
      <c r="I988" s="1052"/>
      <c r="J988" s="230"/>
      <c r="K988" s="2"/>
      <c r="L988" s="2"/>
      <c r="M988" s="2"/>
      <c r="N988" s="2"/>
    </row>
    <row r="989" spans="3:14">
      <c r="C989" s="2"/>
      <c r="D989" s="15" t="s">
        <v>266</v>
      </c>
      <c r="E989" s="231">
        <v>4</v>
      </c>
      <c r="F989" s="1050" t="s">
        <v>1403</v>
      </c>
      <c r="G989" s="1051"/>
      <c r="H989" s="1051"/>
      <c r="I989" s="1052"/>
      <c r="J989" s="230"/>
      <c r="K989" s="2"/>
      <c r="L989" s="2"/>
      <c r="M989" s="2"/>
      <c r="N989" s="2"/>
    </row>
    <row r="990" spans="3:14">
      <c r="C990" s="2"/>
      <c r="D990" s="15" t="s">
        <v>1404</v>
      </c>
      <c r="E990" s="231">
        <v>2053</v>
      </c>
      <c r="F990" s="1050" t="s">
        <v>1405</v>
      </c>
      <c r="G990" s="1051"/>
      <c r="H990" s="1051"/>
      <c r="I990" s="1052"/>
      <c r="J990" s="230"/>
      <c r="K990" s="2"/>
      <c r="L990" s="2"/>
      <c r="M990" s="2"/>
      <c r="N990" s="2"/>
    </row>
    <row r="991" spans="3:14">
      <c r="C991" s="2"/>
      <c r="D991" s="15" t="s">
        <v>1406</v>
      </c>
      <c r="E991" s="231">
        <v>0</v>
      </c>
      <c r="F991" s="1050" t="s">
        <v>1407</v>
      </c>
      <c r="G991" s="1051"/>
      <c r="H991" s="1051"/>
      <c r="I991" s="1052"/>
      <c r="J991" s="230"/>
      <c r="K991" s="2"/>
      <c r="L991" s="2"/>
      <c r="M991" s="2"/>
      <c r="N991" s="2"/>
    </row>
    <row r="992" spans="3:14">
      <c r="C992" s="2"/>
      <c r="D992" s="15" t="s">
        <v>1408</v>
      </c>
      <c r="E992" s="231">
        <v>0</v>
      </c>
      <c r="F992" s="1050" t="s">
        <v>1409</v>
      </c>
      <c r="G992" s="1051"/>
      <c r="H992" s="1051"/>
      <c r="I992" s="1052"/>
      <c r="J992" s="230"/>
      <c r="K992" s="2"/>
      <c r="L992" s="2"/>
      <c r="M992" s="2"/>
      <c r="N992" s="2"/>
    </row>
    <row r="993" spans="3:15">
      <c r="C993" s="2"/>
      <c r="D993" s="15" t="s">
        <v>271</v>
      </c>
      <c r="E993" s="231">
        <v>2346</v>
      </c>
      <c r="F993" s="1050" t="s">
        <v>1410</v>
      </c>
      <c r="G993" s="1051"/>
      <c r="H993" s="1051"/>
      <c r="I993" s="1052"/>
      <c r="J993" s="230"/>
      <c r="K993" s="2"/>
      <c r="L993" s="2"/>
      <c r="M993" s="2"/>
      <c r="N993" s="2"/>
    </row>
    <row r="994" spans="3:15">
      <c r="C994" s="2"/>
      <c r="D994" s="15" t="s">
        <v>280</v>
      </c>
      <c r="E994" s="231">
        <v>3143</v>
      </c>
      <c r="F994" s="1050" t="s">
        <v>1411</v>
      </c>
      <c r="G994" s="1051"/>
      <c r="H994" s="1051"/>
      <c r="I994" s="1052"/>
      <c r="J994" s="230"/>
      <c r="K994" s="2"/>
      <c r="L994" s="2"/>
      <c r="M994" s="2"/>
      <c r="N994" s="2"/>
    </row>
    <row r="995" spans="3:15">
      <c r="C995" s="2"/>
      <c r="D995" s="15" t="s">
        <v>283</v>
      </c>
      <c r="E995" s="231">
        <v>2729</v>
      </c>
      <c r="F995" s="1050" t="s">
        <v>1412</v>
      </c>
      <c r="G995" s="1051"/>
      <c r="H995" s="1051"/>
      <c r="I995" s="1052"/>
      <c r="J995" s="230"/>
      <c r="K995" s="2"/>
      <c r="L995" s="2"/>
      <c r="M995" s="2"/>
      <c r="N995" s="2"/>
    </row>
    <row r="996" spans="3:15">
      <c r="C996" s="2"/>
      <c r="D996" s="15" t="s">
        <v>285</v>
      </c>
      <c r="E996" s="231">
        <v>2280</v>
      </c>
      <c r="F996" s="1050" t="s">
        <v>1413</v>
      </c>
      <c r="G996" s="1051"/>
      <c r="H996" s="1051"/>
      <c r="I996" s="1052"/>
      <c r="J996" s="230"/>
      <c r="K996" s="2"/>
      <c r="L996" s="2"/>
      <c r="M996" s="2"/>
      <c r="N996" s="2"/>
    </row>
    <row r="997" spans="3:15">
      <c r="C997" s="2"/>
      <c r="D997" s="15" t="s">
        <v>286</v>
      </c>
      <c r="E997" s="231">
        <v>2440</v>
      </c>
      <c r="F997" s="1054" t="s">
        <v>1414</v>
      </c>
      <c r="G997" s="1055"/>
      <c r="H997" s="1055"/>
      <c r="I997" s="1056"/>
      <c r="J997" s="230"/>
      <c r="K997" s="2"/>
      <c r="L997" s="2"/>
      <c r="M997" s="2"/>
      <c r="N997" s="2"/>
    </row>
    <row r="998" spans="3:15">
      <c r="C998" s="2"/>
      <c r="D998" s="15" t="s">
        <v>288</v>
      </c>
      <c r="E998" s="231">
        <v>1508</v>
      </c>
      <c r="F998" s="1054" t="s">
        <v>1415</v>
      </c>
      <c r="G998" s="1055"/>
      <c r="H998" s="1055"/>
      <c r="I998" s="1056"/>
      <c r="J998" s="230"/>
      <c r="K998" s="2"/>
      <c r="L998" s="2"/>
      <c r="M998" s="2"/>
      <c r="N998" s="2"/>
    </row>
    <row r="999" spans="3:15">
      <c r="C999" s="2"/>
      <c r="D999" s="15" t="s">
        <v>290</v>
      </c>
      <c r="E999" s="231">
        <v>3607</v>
      </c>
      <c r="F999" s="1050" t="s">
        <v>1416</v>
      </c>
      <c r="G999" s="1051"/>
      <c r="H999" s="1051"/>
      <c r="I999" s="1052"/>
      <c r="J999" s="230"/>
      <c r="K999" s="2"/>
      <c r="L999" s="2"/>
      <c r="M999" s="2"/>
      <c r="N999" s="2"/>
    </row>
    <row r="1000" spans="3:15">
      <c r="C1000" s="2"/>
      <c r="D1000" s="15" t="s">
        <v>294</v>
      </c>
      <c r="E1000" s="232">
        <v>3245</v>
      </c>
      <c r="F1000" s="1054" t="s">
        <v>1417</v>
      </c>
      <c r="G1000" s="1055"/>
      <c r="H1000" s="1055"/>
      <c r="I1000" s="1056"/>
      <c r="J1000" s="230"/>
      <c r="K1000" s="2"/>
      <c r="L1000" s="2"/>
      <c r="M1000" s="2"/>
      <c r="N1000" s="2"/>
    </row>
    <row r="1001" spans="3:15">
      <c r="C1001" s="2"/>
      <c r="D1001" s="233" t="s">
        <v>301</v>
      </c>
      <c r="E1001" s="231">
        <v>32</v>
      </c>
      <c r="F1001" s="1050" t="s">
        <v>1418</v>
      </c>
      <c r="G1001" s="1051"/>
      <c r="H1001" s="1051"/>
      <c r="I1001" s="1052"/>
      <c r="J1001" s="230"/>
      <c r="K1001" s="2"/>
      <c r="L1001" s="2"/>
      <c r="M1001" s="2"/>
      <c r="N1001" s="2"/>
    </row>
    <row r="1002" spans="3:15">
      <c r="C1002" s="2"/>
      <c r="D1002" s="233" t="s">
        <v>1419</v>
      </c>
      <c r="E1002" s="231">
        <v>0</v>
      </c>
      <c r="F1002" s="1050" t="s">
        <v>1420</v>
      </c>
      <c r="G1002" s="1051"/>
      <c r="H1002" s="1051"/>
      <c r="I1002" s="1052"/>
      <c r="J1002" s="230"/>
      <c r="K1002" s="2"/>
      <c r="L1002" s="2"/>
      <c r="M1002" s="2"/>
      <c r="N1002" s="2"/>
    </row>
    <row r="1003" spans="3:15">
      <c r="C1003" s="2"/>
      <c r="D1003" s="233" t="s">
        <v>303</v>
      </c>
      <c r="E1003" s="231">
        <v>325</v>
      </c>
      <c r="F1003" s="1050" t="s">
        <v>1421</v>
      </c>
      <c r="G1003" s="1051"/>
      <c r="H1003" s="1051"/>
      <c r="I1003" s="1052"/>
      <c r="J1003" s="230"/>
      <c r="K1003" s="2"/>
      <c r="L1003" s="2"/>
      <c r="M1003" s="2"/>
      <c r="N1003" s="2"/>
    </row>
    <row r="1004" spans="3:15">
      <c r="C1004" s="2"/>
      <c r="D1004" s="233" t="s">
        <v>304</v>
      </c>
      <c r="E1004" s="231">
        <v>3985</v>
      </c>
      <c r="F1004" s="1050" t="s">
        <v>1422</v>
      </c>
      <c r="G1004" s="1051"/>
      <c r="H1004" s="1051"/>
      <c r="I1004" s="1052"/>
      <c r="J1004" s="230"/>
      <c r="K1004" s="2"/>
      <c r="L1004" s="2"/>
      <c r="M1004" s="2"/>
      <c r="N1004" s="2"/>
    </row>
    <row r="1005" spans="3:15">
      <c r="C1005" s="2"/>
      <c r="D1005" s="15" t="s">
        <v>1423</v>
      </c>
      <c r="E1005" s="231">
        <v>13214</v>
      </c>
      <c r="F1005" s="1050" t="s">
        <v>1424</v>
      </c>
      <c r="G1005" s="1051"/>
      <c r="H1005" s="1051"/>
      <c r="I1005" s="1052"/>
      <c r="J1005" s="230"/>
      <c r="K1005" s="2"/>
      <c r="L1005" s="2"/>
      <c r="M1005" s="2"/>
      <c r="N1005" s="2"/>
    </row>
    <row r="1006" spans="3:15" ht="15" thickBot="1">
      <c r="C1006" s="2"/>
      <c r="D1006" s="148" t="s">
        <v>1425</v>
      </c>
      <c r="E1006" s="234">
        <v>13396</v>
      </c>
      <c r="F1006" s="1057" t="s">
        <v>1426</v>
      </c>
      <c r="G1006" s="1058"/>
      <c r="H1006" s="1058"/>
      <c r="I1006" s="1059"/>
      <c r="J1006" s="230"/>
      <c r="K1006" s="2"/>
      <c r="L1006" s="2"/>
      <c r="M1006" s="2"/>
      <c r="N1006" s="2"/>
    </row>
    <row r="1007" spans="3:15">
      <c r="C1007" s="92"/>
      <c r="D1007" s="1020" t="s">
        <v>1427</v>
      </c>
      <c r="E1007" s="1020"/>
      <c r="F1007" s="1020"/>
      <c r="G1007" s="1020"/>
      <c r="H1007" s="1020"/>
      <c r="I1007" s="1020"/>
      <c r="J1007" s="1020"/>
      <c r="K1007" s="1020"/>
      <c r="L1007" s="1020"/>
      <c r="M1007" s="60"/>
      <c r="N1007" s="144"/>
    </row>
    <row r="1008" spans="3:15">
      <c r="G1008" s="1060"/>
      <c r="H1008" s="1060"/>
      <c r="I1008" s="1060"/>
      <c r="J1008" s="1060"/>
      <c r="K1008" s="1060"/>
      <c r="L1008" s="1060"/>
      <c r="M1008" s="1060"/>
      <c r="N1008" s="1060"/>
      <c r="O1008" s="1060"/>
    </row>
  </sheetData>
  <mergeCells count="307">
    <mergeCell ref="F1000:I1000"/>
    <mergeCell ref="F1001:I1001"/>
    <mergeCell ref="F1002:I1002"/>
    <mergeCell ref="F1003:I1003"/>
    <mergeCell ref="F1004:I1004"/>
    <mergeCell ref="F1005:I1005"/>
    <mergeCell ref="F1006:I1006"/>
    <mergeCell ref="D1007:L1007"/>
    <mergeCell ref="G1008:O1008"/>
    <mergeCell ref="F991:I991"/>
    <mergeCell ref="F992:I992"/>
    <mergeCell ref="F993:I993"/>
    <mergeCell ref="F994:I994"/>
    <mergeCell ref="F995:I995"/>
    <mergeCell ref="F996:I996"/>
    <mergeCell ref="F997:I997"/>
    <mergeCell ref="F998:I998"/>
    <mergeCell ref="F999:I999"/>
    <mergeCell ref="F982:I982"/>
    <mergeCell ref="F983:I983"/>
    <mergeCell ref="F984:I984"/>
    <mergeCell ref="F985:I985"/>
    <mergeCell ref="F986:I986"/>
    <mergeCell ref="F987:I987"/>
    <mergeCell ref="F988:I988"/>
    <mergeCell ref="F989:I989"/>
    <mergeCell ref="F990:I990"/>
    <mergeCell ref="F973:I973"/>
    <mergeCell ref="F974:I974"/>
    <mergeCell ref="F975:I975"/>
    <mergeCell ref="F976:I976"/>
    <mergeCell ref="F977:I977"/>
    <mergeCell ref="F978:I978"/>
    <mergeCell ref="F979:I979"/>
    <mergeCell ref="F980:I980"/>
    <mergeCell ref="F981:I981"/>
    <mergeCell ref="C815:C818"/>
    <mergeCell ref="H940:N940"/>
    <mergeCell ref="H941:N941"/>
    <mergeCell ref="H948:N948"/>
    <mergeCell ref="H949:N949"/>
    <mergeCell ref="D966:M966"/>
    <mergeCell ref="F970:I970"/>
    <mergeCell ref="F971:I971"/>
    <mergeCell ref="F972:I972"/>
    <mergeCell ref="C787:C794"/>
    <mergeCell ref="D787:D788"/>
    <mergeCell ref="D789:D790"/>
    <mergeCell ref="D791:D792"/>
    <mergeCell ref="D793:D794"/>
    <mergeCell ref="C799:C802"/>
    <mergeCell ref="D799:D800"/>
    <mergeCell ref="D801:D802"/>
    <mergeCell ref="C807:C810"/>
    <mergeCell ref="F773:I773"/>
    <mergeCell ref="J773:M773"/>
    <mergeCell ref="N773:Q773"/>
    <mergeCell ref="R773:U773"/>
    <mergeCell ref="V773:Y773"/>
    <mergeCell ref="Z773:AC773"/>
    <mergeCell ref="AD773:AG773"/>
    <mergeCell ref="AH773:AK773"/>
    <mergeCell ref="C775:C782"/>
    <mergeCell ref="D775:D776"/>
    <mergeCell ref="D777:D778"/>
    <mergeCell ref="D779:D780"/>
    <mergeCell ref="D781:D782"/>
    <mergeCell ref="C746:C748"/>
    <mergeCell ref="F751:I751"/>
    <mergeCell ref="J751:M751"/>
    <mergeCell ref="N751:Q751"/>
    <mergeCell ref="R751:U751"/>
    <mergeCell ref="V751:Y751"/>
    <mergeCell ref="C753:C770"/>
    <mergeCell ref="D753:D754"/>
    <mergeCell ref="D755:D756"/>
    <mergeCell ref="D757:D758"/>
    <mergeCell ref="D759:D760"/>
    <mergeCell ref="D761:D762"/>
    <mergeCell ref="D763:D764"/>
    <mergeCell ref="D765:D766"/>
    <mergeCell ref="D767:D768"/>
    <mergeCell ref="D769:D770"/>
    <mergeCell ref="C717:C724"/>
    <mergeCell ref="D717:D718"/>
    <mergeCell ref="D719:D720"/>
    <mergeCell ref="D721:D722"/>
    <mergeCell ref="D723:D724"/>
    <mergeCell ref="G727:J727"/>
    <mergeCell ref="K727:N727"/>
    <mergeCell ref="C729:C742"/>
    <mergeCell ref="D730:D732"/>
    <mergeCell ref="D733:D737"/>
    <mergeCell ref="D738:D742"/>
    <mergeCell ref="F703:I703"/>
    <mergeCell ref="J703:M703"/>
    <mergeCell ref="N703:Q703"/>
    <mergeCell ref="R703:U703"/>
    <mergeCell ref="V703:Y703"/>
    <mergeCell ref="Z703:AC703"/>
    <mergeCell ref="AD703:AG703"/>
    <mergeCell ref="AH703:AK703"/>
    <mergeCell ref="C705:C712"/>
    <mergeCell ref="D705:D706"/>
    <mergeCell ref="D707:D708"/>
    <mergeCell ref="D709:D710"/>
    <mergeCell ref="D711:D712"/>
    <mergeCell ref="N681:Q681"/>
    <mergeCell ref="R681:U681"/>
    <mergeCell ref="V681:Y681"/>
    <mergeCell ref="C683:C700"/>
    <mergeCell ref="D683:D684"/>
    <mergeCell ref="D685:D686"/>
    <mergeCell ref="D687:D688"/>
    <mergeCell ref="D689:D690"/>
    <mergeCell ref="D691:D692"/>
    <mergeCell ref="D693:D694"/>
    <mergeCell ref="D695:D696"/>
    <mergeCell ref="D697:D698"/>
    <mergeCell ref="D699:D700"/>
    <mergeCell ref="D524:L524"/>
    <mergeCell ref="D526:L526"/>
    <mergeCell ref="D602:D603"/>
    <mergeCell ref="D609:D611"/>
    <mergeCell ref="D612:D614"/>
    <mergeCell ref="D651:H651"/>
    <mergeCell ref="D664:M664"/>
    <mergeCell ref="D665:M665"/>
    <mergeCell ref="F681:I681"/>
    <mergeCell ref="J681:M681"/>
    <mergeCell ref="W498:Z498"/>
    <mergeCell ref="W499:Z499"/>
    <mergeCell ref="U500:AC500"/>
    <mergeCell ref="W492:Z492"/>
    <mergeCell ref="W493:Z493"/>
    <mergeCell ref="W494:Z494"/>
    <mergeCell ref="W495:Z495"/>
    <mergeCell ref="W496:Z496"/>
    <mergeCell ref="W497:Z497"/>
    <mergeCell ref="W486:Z486"/>
    <mergeCell ref="W487:Z487"/>
    <mergeCell ref="W488:Z488"/>
    <mergeCell ref="W489:Z489"/>
    <mergeCell ref="W490:Z490"/>
    <mergeCell ref="W491:Z491"/>
    <mergeCell ref="W480:Z480"/>
    <mergeCell ref="W481:Z481"/>
    <mergeCell ref="W482:Z482"/>
    <mergeCell ref="W483:Z483"/>
    <mergeCell ref="W484:Z484"/>
    <mergeCell ref="W485:Z485"/>
    <mergeCell ref="W474:Z474"/>
    <mergeCell ref="W475:Z475"/>
    <mergeCell ref="W476:Z476"/>
    <mergeCell ref="W477:Z477"/>
    <mergeCell ref="W478:Z478"/>
    <mergeCell ref="W479:Z479"/>
    <mergeCell ref="W468:Z468"/>
    <mergeCell ref="W469:Z469"/>
    <mergeCell ref="W470:Z470"/>
    <mergeCell ref="W471:Z471"/>
    <mergeCell ref="W472:Z472"/>
    <mergeCell ref="W473:Z473"/>
    <mergeCell ref="U459:AD459"/>
    <mergeCell ref="W463:Z463"/>
    <mergeCell ref="W464:Z464"/>
    <mergeCell ref="W465:Z465"/>
    <mergeCell ref="W466:Z466"/>
    <mergeCell ref="W467:Z467"/>
    <mergeCell ref="Q299:Q302"/>
    <mergeCell ref="Q307:Q310"/>
    <mergeCell ref="Y433:AE433"/>
    <mergeCell ref="Y434:AE434"/>
    <mergeCell ref="Y441:AE441"/>
    <mergeCell ref="Y442:AE442"/>
    <mergeCell ref="AV265:AY265"/>
    <mergeCell ref="Q267:Q274"/>
    <mergeCell ref="R267:R268"/>
    <mergeCell ref="R269:R270"/>
    <mergeCell ref="R271:R272"/>
    <mergeCell ref="R273:R274"/>
    <mergeCell ref="X265:AA265"/>
    <mergeCell ref="AB265:AE265"/>
    <mergeCell ref="AF265:AI265"/>
    <mergeCell ref="AJ265:AM265"/>
    <mergeCell ref="AN265:AQ265"/>
    <mergeCell ref="AR265:AU265"/>
    <mergeCell ref="T265:W265"/>
    <mergeCell ref="Q279:Q286"/>
    <mergeCell ref="R279:R280"/>
    <mergeCell ref="R281:R282"/>
    <mergeCell ref="R283:R284"/>
    <mergeCell ref="R285:R286"/>
    <mergeCell ref="AF243:AI243"/>
    <mergeCell ref="Q291:Q294"/>
    <mergeCell ref="R291:R292"/>
    <mergeCell ref="R293:R294"/>
    <mergeCell ref="AJ243:AM243"/>
    <mergeCell ref="Q245:Q262"/>
    <mergeCell ref="R245:R246"/>
    <mergeCell ref="R247:R248"/>
    <mergeCell ref="R249:R250"/>
    <mergeCell ref="R251:R252"/>
    <mergeCell ref="Y219:AB219"/>
    <mergeCell ref="Q221:Q234"/>
    <mergeCell ref="R222:R224"/>
    <mergeCell ref="R225:R229"/>
    <mergeCell ref="R230:R234"/>
    <mergeCell ref="Q238:Q240"/>
    <mergeCell ref="R253:R254"/>
    <mergeCell ref="R255:R256"/>
    <mergeCell ref="R257:R258"/>
    <mergeCell ref="R259:R260"/>
    <mergeCell ref="R261:R262"/>
    <mergeCell ref="T243:W243"/>
    <mergeCell ref="X243:AA243"/>
    <mergeCell ref="AB243:AE243"/>
    <mergeCell ref="Q209:Q216"/>
    <mergeCell ref="R209:R210"/>
    <mergeCell ref="R211:R212"/>
    <mergeCell ref="R213:R214"/>
    <mergeCell ref="R215:R216"/>
    <mergeCell ref="U219:X219"/>
    <mergeCell ref="AN195:AQ195"/>
    <mergeCell ref="AR195:AU195"/>
    <mergeCell ref="AV195:AY195"/>
    <mergeCell ref="Q197:Q204"/>
    <mergeCell ref="R197:R198"/>
    <mergeCell ref="R199:R200"/>
    <mergeCell ref="R201:R202"/>
    <mergeCell ref="R203:R204"/>
    <mergeCell ref="R191:R192"/>
    <mergeCell ref="T195:W195"/>
    <mergeCell ref="X195:AA195"/>
    <mergeCell ref="AB195:AE195"/>
    <mergeCell ref="AF195:AI195"/>
    <mergeCell ref="AJ195:AM195"/>
    <mergeCell ref="AJ173:AM173"/>
    <mergeCell ref="Q175:Q192"/>
    <mergeCell ref="R175:R176"/>
    <mergeCell ref="R177:R178"/>
    <mergeCell ref="R179:R180"/>
    <mergeCell ref="R181:R182"/>
    <mergeCell ref="R183:R184"/>
    <mergeCell ref="R185:R186"/>
    <mergeCell ref="R187:R188"/>
    <mergeCell ref="R189:R190"/>
    <mergeCell ref="R156:AA156"/>
    <mergeCell ref="R157:AA157"/>
    <mergeCell ref="T173:W173"/>
    <mergeCell ref="X173:AA173"/>
    <mergeCell ref="AB173:AE173"/>
    <mergeCell ref="AF173:AI173"/>
    <mergeCell ref="R16:Z16"/>
    <mergeCell ref="R18:Z18"/>
    <mergeCell ref="R94:R95"/>
    <mergeCell ref="R101:R103"/>
    <mergeCell ref="R104:R106"/>
    <mergeCell ref="R143:V143"/>
    <mergeCell ref="B239:B242"/>
    <mergeCell ref="C239:C240"/>
    <mergeCell ref="C241:C242"/>
    <mergeCell ref="B208:B222"/>
    <mergeCell ref="C208:C210"/>
    <mergeCell ref="C211:C213"/>
    <mergeCell ref="C214:C216"/>
    <mergeCell ref="C217:C219"/>
    <mergeCell ref="C220:C222"/>
    <mergeCell ref="B187:B204"/>
    <mergeCell ref="C187:C189"/>
    <mergeCell ref="C190:C192"/>
    <mergeCell ref="C193:C195"/>
    <mergeCell ref="C196:C198"/>
    <mergeCell ref="C199:C201"/>
    <mergeCell ref="C202:C204"/>
    <mergeCell ref="B227:B234"/>
    <mergeCell ref="C227:C228"/>
    <mergeCell ref="C229:C230"/>
    <mergeCell ref="C231:C232"/>
    <mergeCell ref="C233:C234"/>
    <mergeCell ref="C152:C155"/>
    <mergeCell ref="C156:C159"/>
    <mergeCell ref="C160:C163"/>
    <mergeCell ref="C164:C167"/>
    <mergeCell ref="C168:C171"/>
    <mergeCell ref="C172:C175"/>
    <mergeCell ref="B116:B183"/>
    <mergeCell ref="C116:C119"/>
    <mergeCell ref="C120:C123"/>
    <mergeCell ref="C124:C127"/>
    <mergeCell ref="C128:C131"/>
    <mergeCell ref="C132:C135"/>
    <mergeCell ref="C136:C139"/>
    <mergeCell ref="C140:C143"/>
    <mergeCell ref="C144:C147"/>
    <mergeCell ref="C148:C151"/>
    <mergeCell ref="C176:C179"/>
    <mergeCell ref="C180:C183"/>
    <mergeCell ref="C82:K82"/>
    <mergeCell ref="C84:K84"/>
    <mergeCell ref="B89:B112"/>
    <mergeCell ref="C89:C92"/>
    <mergeCell ref="C93:C96"/>
    <mergeCell ref="C97:C100"/>
    <mergeCell ref="C101:C104"/>
    <mergeCell ref="C105:C108"/>
    <mergeCell ref="C109:C112"/>
  </mergeCells>
  <hyperlinks>
    <hyperlink ref="C83" r:id="rId1" location="ap40.23.98_19.1"/>
    <hyperlink ref="R17" r:id="rId2" location="ap40.23.98_19.1"/>
    <hyperlink ref="D525" r:id="rId3" location="ap40.23.98_19.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sheetPr>
  <dimension ref="A1:AM101"/>
  <sheetViews>
    <sheetView showGridLines="0" zoomScale="90" zoomScaleNormal="90" workbookViewId="0">
      <pane xSplit="1" ySplit="1" topLeftCell="B20" activePane="bottomRight" state="frozen"/>
      <selection activeCell="B5" sqref="B5"/>
      <selection pane="topRight" activeCell="B5" sqref="B5"/>
      <selection pane="bottomLeft" activeCell="B5" sqref="B5"/>
      <selection pane="bottomRight" activeCell="K54" sqref="K54"/>
    </sheetView>
  </sheetViews>
  <sheetFormatPr defaultColWidth="8.54296875" defaultRowHeight="15" customHeight="1"/>
  <cols>
    <col min="1" max="1" width="7.1796875" style="302" customWidth="1"/>
    <col min="2" max="2" width="9.7265625" style="302" customWidth="1"/>
    <col min="3" max="3" width="9.54296875" style="302" customWidth="1"/>
    <col min="4" max="4" width="27.453125" style="302" customWidth="1"/>
    <col min="5" max="5" width="16.7265625" style="297" customWidth="1"/>
    <col min="6" max="6" width="16.7265625" style="726" customWidth="1"/>
    <col min="7" max="8" width="15.54296875" style="727" customWidth="1"/>
    <col min="9" max="9" width="16" style="727" customWidth="1"/>
    <col min="10" max="10" width="50.54296875" style="302" customWidth="1"/>
    <col min="11" max="12" width="14" style="302" customWidth="1"/>
    <col min="13" max="13" width="8.7265625" style="302" hidden="1" customWidth="1"/>
    <col min="14" max="14" width="8.54296875" style="302" customWidth="1"/>
    <col min="15" max="15" width="9.7265625" style="302" customWidth="1"/>
    <col min="16" max="16" width="9.54296875" style="302" customWidth="1"/>
    <col min="17" max="17" width="27.453125" style="302" customWidth="1"/>
    <col min="18" max="19" width="16.7265625" style="302" customWidth="1"/>
    <col min="20" max="21" width="15.54296875" style="302" customWidth="1"/>
    <col min="22" max="22" width="16" style="727" customWidth="1"/>
    <col min="23" max="23" width="50.54296875" style="302" customWidth="1"/>
    <col min="24" max="25" width="14" style="302" customWidth="1"/>
    <col min="26" max="26" width="8.7265625" style="302" hidden="1" customWidth="1"/>
    <col min="27" max="27" width="8.54296875" style="302"/>
    <col min="28" max="28" width="9.7265625" style="302" customWidth="1"/>
    <col min="29" max="29" width="9.54296875" style="302" customWidth="1"/>
    <col min="30" max="30" width="27.453125" style="302" customWidth="1"/>
    <col min="31" max="32" width="16.7265625" style="302" customWidth="1"/>
    <col min="33" max="34" width="15.54296875" style="302" customWidth="1"/>
    <col min="35" max="35" width="16" style="727" customWidth="1"/>
    <col min="36" max="36" width="50.54296875" style="302" customWidth="1"/>
    <col min="37" max="38" width="14" style="302" customWidth="1"/>
    <col min="39" max="39" width="8.7265625" style="302" hidden="1" customWidth="1"/>
    <col min="40" max="16384" width="8.54296875" style="302"/>
  </cols>
  <sheetData>
    <row r="1" spans="1:39" s="396" customFormat="1" ht="21" customHeight="1">
      <c r="A1" s="293"/>
      <c r="B1" s="291" t="s">
        <v>2233</v>
      </c>
      <c r="G1" s="699"/>
      <c r="H1" s="699"/>
      <c r="I1" s="699"/>
      <c r="V1" s="699"/>
      <c r="AI1" s="699"/>
    </row>
    <row r="2" spans="1:39" s="297" customFormat="1" ht="13.5" customHeight="1">
      <c r="A2" s="295" t="s">
        <v>1</v>
      </c>
      <c r="B2" s="516" t="s">
        <v>1691</v>
      </c>
      <c r="C2" s="517"/>
      <c r="D2" s="517"/>
      <c r="E2" s="517"/>
      <c r="F2" s="517"/>
      <c r="G2" s="700"/>
      <c r="H2" s="700"/>
      <c r="I2" s="700"/>
      <c r="J2" s="517"/>
      <c r="K2" s="517"/>
      <c r="L2" s="518"/>
      <c r="V2" s="307"/>
      <c r="AI2" s="307"/>
    </row>
    <row r="3" spans="1:39" s="297" customFormat="1" ht="13.5" customHeight="1">
      <c r="A3" s="295"/>
      <c r="B3" s="519" t="s">
        <v>1692</v>
      </c>
      <c r="G3" s="307"/>
      <c r="H3" s="307"/>
      <c r="I3" s="307"/>
      <c r="L3" s="520"/>
      <c r="V3" s="307"/>
      <c r="AI3" s="307"/>
    </row>
    <row r="4" spans="1:39" s="297" customFormat="1" ht="13.5" customHeight="1">
      <c r="A4" s="295"/>
      <c r="B4" s="519" t="s">
        <v>1823</v>
      </c>
      <c r="G4" s="307"/>
      <c r="H4" s="307"/>
      <c r="I4" s="307"/>
      <c r="L4" s="520"/>
      <c r="V4" s="307"/>
      <c r="AI4" s="307"/>
    </row>
    <row r="5" spans="1:39" s="297" customFormat="1" ht="15" customHeight="1">
      <c r="A5" s="295"/>
      <c r="B5" s="519"/>
      <c r="G5" s="307"/>
      <c r="H5" s="307"/>
      <c r="I5" s="307"/>
      <c r="L5" s="520"/>
      <c r="V5" s="307"/>
      <c r="AI5" s="307"/>
    </row>
    <row r="6" spans="1:39" s="297" customFormat="1" ht="15" customHeight="1">
      <c r="A6" s="295"/>
      <c r="B6" s="519" t="s">
        <v>1693</v>
      </c>
      <c r="G6" s="307"/>
      <c r="H6" s="307"/>
      <c r="I6" s="307"/>
      <c r="L6" s="520"/>
      <c r="V6" s="307"/>
      <c r="AI6" s="307"/>
    </row>
    <row r="7" spans="1:39" s="297" customFormat="1" ht="15" customHeight="1">
      <c r="A7" s="295"/>
      <c r="B7" s="519" t="s">
        <v>2127</v>
      </c>
      <c r="G7" s="307"/>
      <c r="H7" s="307"/>
      <c r="I7" s="307"/>
      <c r="L7" s="520"/>
      <c r="V7" s="307"/>
      <c r="AI7" s="307"/>
    </row>
    <row r="8" spans="1:39" s="297" customFormat="1" ht="15" customHeight="1">
      <c r="A8" s="295"/>
      <c r="B8" s="519"/>
      <c r="G8" s="307"/>
      <c r="H8" s="307"/>
      <c r="I8" s="307"/>
      <c r="L8" s="520"/>
      <c r="V8" s="307"/>
      <c r="AI8" s="307"/>
    </row>
    <row r="9" spans="1:39" s="297" customFormat="1" ht="15" customHeight="1">
      <c r="B9" s="688" t="s">
        <v>1697</v>
      </c>
      <c r="G9" s="307"/>
      <c r="H9" s="307"/>
      <c r="I9" s="307"/>
      <c r="L9" s="520"/>
      <c r="V9" s="307"/>
      <c r="AI9" s="307"/>
    </row>
    <row r="10" spans="1:39" s="396" customFormat="1" ht="15" customHeight="1">
      <c r="A10" s="297"/>
      <c r="B10" s="519" t="s">
        <v>1686</v>
      </c>
      <c r="C10" s="394"/>
      <c r="D10" s="394"/>
      <c r="E10" s="394"/>
      <c r="F10" s="394"/>
      <c r="G10" s="394"/>
      <c r="H10" s="394"/>
      <c r="I10" s="394"/>
      <c r="J10" s="394"/>
      <c r="K10" s="394"/>
      <c r="L10" s="701"/>
      <c r="M10" s="394"/>
      <c r="N10" s="394"/>
      <c r="O10" s="394"/>
      <c r="T10" s="297"/>
      <c r="U10" s="297"/>
      <c r="V10" s="394"/>
      <c r="Z10" s="394"/>
      <c r="AI10" s="394"/>
      <c r="AM10" s="394"/>
    </row>
    <row r="11" spans="1:39" s="396" customFormat="1" ht="15" customHeight="1">
      <c r="A11" s="302"/>
      <c r="B11" s="519" t="s">
        <v>2128</v>
      </c>
      <c r="C11" s="394"/>
      <c r="D11" s="394"/>
      <c r="E11" s="394"/>
      <c r="F11" s="394"/>
      <c r="G11" s="394"/>
      <c r="H11" s="394"/>
      <c r="I11" s="394"/>
      <c r="J11" s="394"/>
      <c r="K11" s="394"/>
      <c r="L11" s="701"/>
      <c r="M11" s="394"/>
      <c r="N11" s="394"/>
      <c r="O11" s="394"/>
      <c r="T11" s="297"/>
      <c r="U11" s="297"/>
      <c r="V11" s="394"/>
      <c r="Z11" s="394"/>
      <c r="AI11" s="394"/>
      <c r="AM11" s="394"/>
    </row>
    <row r="12" spans="1:39" s="396" customFormat="1" ht="15" customHeight="1">
      <c r="A12" s="297"/>
      <c r="B12" s="519" t="s">
        <v>1694</v>
      </c>
      <c r="C12" s="394"/>
      <c r="D12" s="394"/>
      <c r="E12" s="394"/>
      <c r="F12" s="394"/>
      <c r="G12" s="394"/>
      <c r="H12" s="394"/>
      <c r="I12" s="394"/>
      <c r="J12" s="394"/>
      <c r="K12" s="394"/>
      <c r="L12" s="701"/>
      <c r="M12" s="394"/>
      <c r="N12" s="394"/>
      <c r="O12" s="394"/>
      <c r="T12" s="297"/>
      <c r="U12" s="297"/>
      <c r="V12" s="394"/>
      <c r="Z12" s="394"/>
      <c r="AI12" s="394"/>
      <c r="AM12" s="394"/>
    </row>
    <row r="13" spans="1:39" ht="15" customHeight="1">
      <c r="B13" s="519" t="s">
        <v>1684</v>
      </c>
      <c r="C13" s="686"/>
      <c r="D13" s="686"/>
      <c r="E13" s="686"/>
      <c r="F13" s="686"/>
      <c r="G13" s="686"/>
      <c r="H13" s="686"/>
      <c r="I13" s="686"/>
      <c r="J13" s="686"/>
      <c r="K13" s="686"/>
      <c r="L13" s="702"/>
      <c r="M13" s="686"/>
      <c r="N13" s="686"/>
      <c r="O13" s="686"/>
      <c r="T13" s="297"/>
      <c r="U13" s="297"/>
      <c r="V13" s="686"/>
      <c r="Z13" s="686"/>
      <c r="AI13" s="686"/>
      <c r="AM13" s="686"/>
    </row>
    <row r="14" spans="1:39" ht="15" customHeight="1">
      <c r="B14" s="519"/>
      <c r="C14" s="686"/>
      <c r="D14" s="686"/>
      <c r="E14" s="686"/>
      <c r="F14" s="686"/>
      <c r="G14" s="686"/>
      <c r="H14" s="686"/>
      <c r="I14" s="686"/>
      <c r="J14" s="686"/>
      <c r="K14" s="686"/>
      <c r="L14" s="702"/>
      <c r="M14" s="686"/>
      <c r="N14" s="686"/>
      <c r="O14" s="686"/>
      <c r="T14" s="297"/>
      <c r="U14" s="297"/>
      <c r="V14" s="686"/>
      <c r="Z14" s="686"/>
      <c r="AI14" s="686"/>
      <c r="AM14" s="686"/>
    </row>
    <row r="15" spans="1:39" ht="15" customHeight="1">
      <c r="B15" s="519" t="s">
        <v>1813</v>
      </c>
      <c r="C15" s="659"/>
      <c r="D15" s="659"/>
      <c r="E15" s="659"/>
      <c r="F15" s="302"/>
      <c r="G15" s="674"/>
      <c r="H15" s="674"/>
      <c r="I15" s="674"/>
      <c r="L15" s="689"/>
      <c r="T15" s="297"/>
      <c r="U15" s="297"/>
      <c r="V15" s="674"/>
      <c r="AI15" s="674"/>
    </row>
    <row r="16" spans="1:39" ht="15" customHeight="1">
      <c r="B16" s="519" t="s">
        <v>2168</v>
      </c>
      <c r="C16" s="659"/>
      <c r="D16" s="659"/>
      <c r="E16" s="659"/>
      <c r="F16" s="302"/>
      <c r="G16" s="674"/>
      <c r="H16" s="674"/>
      <c r="I16" s="674"/>
      <c r="L16" s="689"/>
      <c r="T16" s="297"/>
      <c r="U16" s="297"/>
      <c r="V16" s="674"/>
      <c r="AI16" s="674"/>
    </row>
    <row r="17" spans="1:39" ht="15" customHeight="1">
      <c r="B17" s="519" t="s">
        <v>1696</v>
      </c>
      <c r="C17" s="659"/>
      <c r="D17" s="659"/>
      <c r="E17" s="659"/>
      <c r="F17" s="302"/>
      <c r="G17" s="674"/>
      <c r="H17" s="674"/>
      <c r="I17" s="674"/>
      <c r="L17" s="689"/>
      <c r="T17" s="297"/>
      <c r="U17" s="297"/>
      <c r="V17" s="674"/>
      <c r="AI17" s="674"/>
    </row>
    <row r="18" spans="1:39" ht="15" customHeight="1">
      <c r="B18" s="519" t="s">
        <v>2175</v>
      </c>
      <c r="C18" s="659"/>
      <c r="D18" s="659"/>
      <c r="E18" s="659"/>
      <c r="F18" s="302"/>
      <c r="G18" s="674"/>
      <c r="H18" s="674"/>
      <c r="I18" s="674"/>
      <c r="L18" s="689"/>
      <c r="T18" s="297"/>
      <c r="U18" s="297"/>
      <c r="V18" s="674"/>
      <c r="AI18" s="674"/>
    </row>
    <row r="19" spans="1:39" ht="15" customHeight="1">
      <c r="B19" s="519"/>
      <c r="C19" s="659"/>
      <c r="D19" s="659"/>
      <c r="E19" s="659"/>
      <c r="F19" s="302"/>
      <c r="G19" s="674"/>
      <c r="H19" s="674"/>
      <c r="I19" s="674"/>
      <c r="L19" s="689"/>
      <c r="T19" s="297"/>
      <c r="U19" s="297"/>
      <c r="V19" s="674"/>
      <c r="AI19" s="674"/>
    </row>
    <row r="20" spans="1:39" ht="15" customHeight="1">
      <c r="B20" s="519" t="s">
        <v>2129</v>
      </c>
      <c r="C20" s="659"/>
      <c r="D20" s="659"/>
      <c r="E20" s="659"/>
      <c r="F20" s="302"/>
      <c r="G20" s="674"/>
      <c r="H20" s="674"/>
      <c r="I20" s="674"/>
      <c r="L20" s="689"/>
      <c r="T20" s="297"/>
      <c r="U20" s="297"/>
      <c r="V20" s="674"/>
      <c r="AI20" s="674"/>
    </row>
    <row r="21" spans="1:39" ht="15" customHeight="1">
      <c r="B21" s="519" t="s">
        <v>2183</v>
      </c>
      <c r="C21" s="659"/>
      <c r="D21" s="659"/>
      <c r="E21" s="659"/>
      <c r="F21" s="302"/>
      <c r="G21" s="674"/>
      <c r="H21" s="674"/>
      <c r="I21" s="674"/>
      <c r="L21" s="689"/>
      <c r="T21" s="297"/>
      <c r="U21" s="297"/>
      <c r="V21" s="674"/>
      <c r="AI21" s="674"/>
    </row>
    <row r="22" spans="1:39" ht="15" customHeight="1">
      <c r="B22" s="519" t="s">
        <v>2130</v>
      </c>
      <c r="C22" s="659"/>
      <c r="D22" s="659"/>
      <c r="E22" s="659"/>
      <c r="F22" s="302"/>
      <c r="G22" s="674"/>
      <c r="H22" s="674"/>
      <c r="I22" s="674"/>
      <c r="L22" s="689"/>
      <c r="T22" s="297"/>
      <c r="U22" s="297"/>
      <c r="V22" s="674"/>
      <c r="AI22" s="674"/>
    </row>
    <row r="23" spans="1:39" ht="15" customHeight="1">
      <c r="B23" s="519"/>
      <c r="C23" s="659"/>
      <c r="D23" s="659"/>
      <c r="E23" s="659"/>
      <c r="F23" s="302"/>
      <c r="G23" s="674"/>
      <c r="H23" s="674"/>
      <c r="I23" s="674"/>
      <c r="L23" s="689"/>
      <c r="T23" s="297"/>
      <c r="U23" s="297"/>
      <c r="V23" s="674"/>
      <c r="AI23" s="674"/>
    </row>
    <row r="24" spans="1:39" ht="15" customHeight="1">
      <c r="B24" s="519" t="s">
        <v>1687</v>
      </c>
      <c r="C24" s="659"/>
      <c r="D24" s="659"/>
      <c r="E24" s="659"/>
      <c r="F24" s="302"/>
      <c r="G24" s="674"/>
      <c r="H24" s="674"/>
      <c r="I24" s="674"/>
      <c r="L24" s="689"/>
      <c r="T24" s="297"/>
      <c r="U24" s="297"/>
      <c r="V24" s="674"/>
      <c r="AI24" s="674"/>
    </row>
    <row r="25" spans="1:39" ht="15" customHeight="1">
      <c r="B25" s="519"/>
      <c r="C25" s="659"/>
      <c r="D25" s="659"/>
      <c r="E25" s="659"/>
      <c r="F25" s="302"/>
      <c r="G25" s="674"/>
      <c r="H25" s="674"/>
      <c r="I25" s="674"/>
      <c r="L25" s="689"/>
      <c r="T25" s="297"/>
      <c r="U25" s="297"/>
      <c r="V25" s="674"/>
      <c r="AI25" s="674"/>
    </row>
    <row r="26" spans="1:39" ht="15" customHeight="1">
      <c r="B26" s="523" t="s">
        <v>1695</v>
      </c>
      <c r="C26" s="660"/>
      <c r="D26" s="660"/>
      <c r="E26" s="660"/>
      <c r="F26" s="675"/>
      <c r="G26" s="676"/>
      <c r="H26" s="676"/>
      <c r="I26" s="676"/>
      <c r="J26" s="675"/>
      <c r="K26" s="675"/>
      <c r="L26" s="690"/>
      <c r="T26" s="297"/>
      <c r="U26" s="297"/>
      <c r="V26" s="674"/>
      <c r="AI26" s="674"/>
    </row>
    <row r="27" spans="1:39" s="297" customFormat="1" ht="15" customHeight="1" thickBot="1">
      <c r="A27" s="302"/>
      <c r="B27" s="299"/>
      <c r="G27" s="307"/>
      <c r="H27" s="307"/>
      <c r="I27" s="307"/>
      <c r="V27" s="307"/>
      <c r="AI27" s="307"/>
    </row>
    <row r="28" spans="1:39" s="297" customFormat="1" ht="15" customHeight="1" thickTop="1" thickBot="1">
      <c r="A28" s="302"/>
      <c r="B28" s="502" t="s">
        <v>55</v>
      </c>
      <c r="C28" s="526">
        <f>Organisatsioon!B23</f>
        <v>2021</v>
      </c>
      <c r="G28" s="307"/>
      <c r="H28" s="307"/>
      <c r="I28" s="307"/>
      <c r="O28" s="502" t="s">
        <v>55</v>
      </c>
      <c r="P28" s="526">
        <f>Organisatsioon!B24</f>
        <v>2022</v>
      </c>
      <c r="V28" s="307"/>
      <c r="AB28" s="502" t="s">
        <v>55</v>
      </c>
      <c r="AC28" s="526">
        <f>Organisatsioon!B25</f>
        <v>2023</v>
      </c>
      <c r="AI28" s="307"/>
    </row>
    <row r="29" spans="1:39" s="297" customFormat="1" ht="15" customHeight="1" thickTop="1">
      <c r="A29" s="302"/>
      <c r="E29" s="703"/>
      <c r="F29" s="703"/>
      <c r="G29" s="703"/>
      <c r="H29" s="703"/>
      <c r="I29" s="703"/>
      <c r="J29" s="703"/>
      <c r="K29" s="703"/>
      <c r="L29" s="703"/>
      <c r="V29" s="703"/>
      <c r="AI29" s="703"/>
    </row>
    <row r="30" spans="1:39" s="297" customFormat="1" ht="15" customHeight="1">
      <c r="A30" s="302"/>
      <c r="B30" s="320" t="s">
        <v>1645</v>
      </c>
      <c r="C30" s="321"/>
      <c r="D30" s="321"/>
      <c r="E30" s="321"/>
      <c r="F30" s="321"/>
      <c r="G30" s="321"/>
      <c r="H30" s="321"/>
      <c r="I30" s="321"/>
      <c r="J30" s="321"/>
      <c r="K30" s="321"/>
      <c r="L30" s="321"/>
      <c r="M30" s="322"/>
      <c r="O30" s="704" t="s">
        <v>1645</v>
      </c>
      <c r="P30" s="705"/>
      <c r="Q30" s="705"/>
      <c r="R30" s="705"/>
      <c r="S30" s="705"/>
      <c r="T30" s="705"/>
      <c r="U30" s="705"/>
      <c r="V30" s="705"/>
      <c r="W30" s="705"/>
      <c r="X30" s="705"/>
      <c r="Y30" s="706"/>
      <c r="Z30" s="322"/>
      <c r="AB30" s="704" t="s">
        <v>1645</v>
      </c>
      <c r="AC30" s="705"/>
      <c r="AD30" s="705"/>
      <c r="AE30" s="705"/>
      <c r="AF30" s="705"/>
      <c r="AG30" s="705"/>
      <c r="AH30" s="705"/>
      <c r="AI30" s="705"/>
      <c r="AJ30" s="705"/>
      <c r="AK30" s="705"/>
      <c r="AL30" s="706"/>
      <c r="AM30" s="322"/>
    </row>
    <row r="31" spans="1:39" s="297" customFormat="1" ht="15" customHeight="1">
      <c r="A31" s="302"/>
      <c r="B31" s="925" t="s">
        <v>57</v>
      </c>
      <c r="C31" s="908" t="s">
        <v>1447</v>
      </c>
      <c r="D31" s="909"/>
      <c r="E31" s="925" t="s">
        <v>67</v>
      </c>
      <c r="F31" s="914" t="s">
        <v>68</v>
      </c>
      <c r="G31" s="908" t="s">
        <v>69</v>
      </c>
      <c r="H31" s="914" t="s">
        <v>70</v>
      </c>
      <c r="I31" s="914" t="s">
        <v>81</v>
      </c>
      <c r="J31" s="914" t="s">
        <v>71</v>
      </c>
      <c r="K31" s="916" t="s">
        <v>72</v>
      </c>
      <c r="L31" s="917"/>
      <c r="M31" s="914" t="s">
        <v>2131</v>
      </c>
      <c r="O31" s="925" t="s">
        <v>57</v>
      </c>
      <c r="P31" s="908" t="s">
        <v>1447</v>
      </c>
      <c r="Q31" s="909"/>
      <c r="R31" s="925" t="s">
        <v>67</v>
      </c>
      <c r="S31" s="914" t="s">
        <v>68</v>
      </c>
      <c r="T31" s="908" t="s">
        <v>69</v>
      </c>
      <c r="U31" s="914" t="s">
        <v>70</v>
      </c>
      <c r="V31" s="914" t="s">
        <v>81</v>
      </c>
      <c r="W31" s="914" t="s">
        <v>71</v>
      </c>
      <c r="X31" s="916" t="s">
        <v>72</v>
      </c>
      <c r="Y31" s="917"/>
      <c r="Z31" s="914" t="s">
        <v>2131</v>
      </c>
      <c r="AB31" s="925" t="s">
        <v>57</v>
      </c>
      <c r="AC31" s="908" t="s">
        <v>1447</v>
      </c>
      <c r="AD31" s="909"/>
      <c r="AE31" s="925" t="s">
        <v>67</v>
      </c>
      <c r="AF31" s="914" t="s">
        <v>68</v>
      </c>
      <c r="AG31" s="908" t="s">
        <v>69</v>
      </c>
      <c r="AH31" s="914" t="s">
        <v>70</v>
      </c>
      <c r="AI31" s="914" t="s">
        <v>81</v>
      </c>
      <c r="AJ31" s="914" t="s">
        <v>71</v>
      </c>
      <c r="AK31" s="916" t="s">
        <v>72</v>
      </c>
      <c r="AL31" s="917"/>
      <c r="AM31" s="914" t="s">
        <v>2131</v>
      </c>
    </row>
    <row r="32" spans="1:39" s="297" customFormat="1" ht="15" customHeight="1">
      <c r="A32" s="302"/>
      <c r="B32" s="926"/>
      <c r="C32" s="928"/>
      <c r="D32" s="929"/>
      <c r="E32" s="926"/>
      <c r="F32" s="915"/>
      <c r="G32" s="928"/>
      <c r="H32" s="915"/>
      <c r="I32" s="915"/>
      <c r="J32" s="915"/>
      <c r="K32" s="918"/>
      <c r="L32" s="919"/>
      <c r="M32" s="915"/>
      <c r="O32" s="926"/>
      <c r="P32" s="928"/>
      <c r="Q32" s="929"/>
      <c r="R32" s="926"/>
      <c r="S32" s="915"/>
      <c r="T32" s="928"/>
      <c r="U32" s="915"/>
      <c r="V32" s="915"/>
      <c r="W32" s="915"/>
      <c r="X32" s="918"/>
      <c r="Y32" s="919"/>
      <c r="Z32" s="915"/>
      <c r="AB32" s="926"/>
      <c r="AC32" s="928"/>
      <c r="AD32" s="929"/>
      <c r="AE32" s="926"/>
      <c r="AF32" s="915"/>
      <c r="AG32" s="928"/>
      <c r="AH32" s="915"/>
      <c r="AI32" s="915"/>
      <c r="AJ32" s="915"/>
      <c r="AK32" s="918"/>
      <c r="AL32" s="919"/>
      <c r="AM32" s="915"/>
    </row>
    <row r="33" spans="1:39" s="297" customFormat="1" ht="15" customHeight="1">
      <c r="A33" s="302"/>
      <c r="B33" s="926"/>
      <c r="C33" s="928"/>
      <c r="D33" s="929"/>
      <c r="E33" s="926"/>
      <c r="F33" s="922"/>
      <c r="G33" s="928"/>
      <c r="H33" s="915"/>
      <c r="I33" s="915"/>
      <c r="J33" s="915"/>
      <c r="K33" s="920"/>
      <c r="L33" s="921"/>
      <c r="M33" s="915"/>
      <c r="O33" s="926"/>
      <c r="P33" s="928"/>
      <c r="Q33" s="929"/>
      <c r="R33" s="926"/>
      <c r="S33" s="922"/>
      <c r="T33" s="928"/>
      <c r="U33" s="915"/>
      <c r="V33" s="915"/>
      <c r="W33" s="915"/>
      <c r="X33" s="920"/>
      <c r="Y33" s="921"/>
      <c r="Z33" s="915"/>
      <c r="AB33" s="926"/>
      <c r="AC33" s="928"/>
      <c r="AD33" s="929"/>
      <c r="AE33" s="926"/>
      <c r="AF33" s="922"/>
      <c r="AG33" s="928"/>
      <c r="AH33" s="915"/>
      <c r="AI33" s="915"/>
      <c r="AJ33" s="915"/>
      <c r="AK33" s="920"/>
      <c r="AL33" s="921"/>
      <c r="AM33" s="915"/>
    </row>
    <row r="34" spans="1:39" s="297" customFormat="1" ht="15" customHeight="1">
      <c r="A34" s="302"/>
      <c r="B34" s="927"/>
      <c r="C34" s="910"/>
      <c r="D34" s="911"/>
      <c r="E34" s="927"/>
      <c r="F34" s="691" t="s">
        <v>73</v>
      </c>
      <c r="G34" s="910"/>
      <c r="H34" s="922"/>
      <c r="I34" s="922"/>
      <c r="J34" s="922"/>
      <c r="K34" s="545" t="s">
        <v>2085</v>
      </c>
      <c r="L34" s="545" t="s">
        <v>2086</v>
      </c>
      <c r="M34" s="545" t="s">
        <v>2083</v>
      </c>
      <c r="O34" s="927"/>
      <c r="P34" s="910"/>
      <c r="Q34" s="911"/>
      <c r="R34" s="927"/>
      <c r="S34" s="691" t="s">
        <v>73</v>
      </c>
      <c r="T34" s="910"/>
      <c r="U34" s="922"/>
      <c r="V34" s="922"/>
      <c r="W34" s="922"/>
      <c r="X34" s="545" t="s">
        <v>2085</v>
      </c>
      <c r="Y34" s="545" t="s">
        <v>2086</v>
      </c>
      <c r="Z34" s="545" t="s">
        <v>2083</v>
      </c>
      <c r="AB34" s="927"/>
      <c r="AC34" s="910"/>
      <c r="AD34" s="911"/>
      <c r="AE34" s="927"/>
      <c r="AF34" s="691" t="s">
        <v>73</v>
      </c>
      <c r="AG34" s="910"/>
      <c r="AH34" s="922"/>
      <c r="AI34" s="922"/>
      <c r="AJ34" s="922"/>
      <c r="AK34" s="545" t="s">
        <v>2085</v>
      </c>
      <c r="AL34" s="545" t="s">
        <v>2086</v>
      </c>
      <c r="AM34" s="545" t="s">
        <v>2083</v>
      </c>
    </row>
    <row r="35" spans="1:39" s="297" customFormat="1" ht="15" customHeight="1">
      <c r="A35" s="302"/>
      <c r="B35" s="599">
        <v>1</v>
      </c>
      <c r="C35" s="923" t="s">
        <v>1517</v>
      </c>
      <c r="D35" s="924"/>
      <c r="E35" s="707">
        <v>100000</v>
      </c>
      <c r="F35" s="572" t="s">
        <v>75</v>
      </c>
      <c r="G35" s="708">
        <f>IF(F35="Jah",LOOKUP(C35,'HT-Energia (M1, M2)'!$B$5:$B$43,'HT-Energia (M1, M2)'!$C$5:$C$43),IF(F35="Ei","x "))</f>
        <v>2.5331759682389643E-4</v>
      </c>
      <c r="H35" s="709"/>
      <c r="I35" s="710" t="str">
        <f>IF(RIGHT(C35,5)="(kWh)","kg CO₂ ekv/kWh",IF(RIGHT(C35,4)="(kg)","kg CO₂ ekv/kg",IF(RIGHT(C35,4)="(mᶟ)","kg CO₂ ekv/mᶟ",IF(RIGHT(C35,3)="(l)","kg CO₂ ekv/l",""))))</f>
        <v>kg CO₂ ekv/kWh</v>
      </c>
      <c r="J35" s="711" t="str">
        <f>IF(F35="Jah", LOOKUP(C35,'HT-Energia (M1, M2)'!$B$5:$B$43,'HT-Energia (M1, M2)'!$E$5:$E$43),IF(F35= "Ei", " "))</f>
        <v>KHG inventuuri aruanne 2022, katlad 1-50MW</v>
      </c>
      <c r="K35" s="549">
        <f>IF(F35="Jah",E35*G35,IF(F35="Ei",E35*H35))</f>
        <v>25.331759682389642</v>
      </c>
      <c r="L35" s="549">
        <f>K35*0.001</f>
        <v>2.5331759682389644E-2</v>
      </c>
      <c r="M35" s="819">
        <f>VLOOKUP(C35,'HT-Energia (M1, M2)'!$B$48:$C$51,2,FALSE)*E35*0.001</f>
        <v>40.32</v>
      </c>
      <c r="O35" s="599">
        <v>1</v>
      </c>
      <c r="P35" s="923" t="s">
        <v>1516</v>
      </c>
      <c r="Q35" s="924"/>
      <c r="R35" s="707">
        <v>50000</v>
      </c>
      <c r="S35" s="572" t="s">
        <v>75</v>
      </c>
      <c r="T35" s="713">
        <f>IF(S35="Jah",LOOKUP(P35,'HT-Energia (M1, M2)'!$B$5:$B$43,'HT-Energia (M1, M2)'!$C$5:$C$43),IF(S35="Ei","x "))</f>
        <v>8.3735538950121321E-4</v>
      </c>
      <c r="U35" s="709"/>
      <c r="V35" s="710" t="str">
        <f>IF(RIGHT(P35,5)="(kWh)","kg CO₂ ekv/kWh",IF(RIGHT(P35,4)="(kg)","kg CO₂ ekv/kg",IF(RIGHT(P35,4)="(mᶟ)","kg CO₂ ekv/mᶟ",IF(RIGHT(P35,3)="(l)","kg CO₂ ekv/l",""))))</f>
        <v>kg CO₂ ekv/kg</v>
      </c>
      <c r="W35" s="711" t="str">
        <f>IF(S35="Jah", LOOKUP(P35,'HT-Energia (M1, M2)'!$B$5:$B$43,'HT-Energia (M1, M2)'!$E$5:$E$43),IF(S35= "Ei", " "))</f>
        <v>KHG inventuuri aruanne 2022, kütteväärtus 11,9 MJ/kg</v>
      </c>
      <c r="X35" s="549">
        <f>IF(S35="Jah",R35*T35,IF(S35="Ei",R35*U35))</f>
        <v>41.867769475060662</v>
      </c>
      <c r="Y35" s="549">
        <f>X35*0.001</f>
        <v>4.1867769475060664E-2</v>
      </c>
      <c r="Z35" s="712">
        <f>VLOOKUP(P35,'HT-Energia (M1, M2)'!$B$48:$C$51,2,FALSE)*R35*0.001</f>
        <v>66.64</v>
      </c>
      <c r="AB35" s="599">
        <v>2</v>
      </c>
      <c r="AC35" s="923" t="s">
        <v>1517</v>
      </c>
      <c r="AD35" s="924"/>
      <c r="AE35" s="707">
        <v>2000</v>
      </c>
      <c r="AF35" s="572" t="s">
        <v>75</v>
      </c>
      <c r="AG35" s="713">
        <f>IF(AF35="Jah",LOOKUP(AC35,'HT-Energia (M1, M2)'!$B$5:$B$43,'HT-Energia (M1, M2)'!$C$5:$C$43),IF(AF35="Ei","x "))</f>
        <v>2.5331759682389643E-4</v>
      </c>
      <c r="AH35" s="709"/>
      <c r="AI35" s="710" t="str">
        <f>IF(RIGHT(AC35,5)="(kWh)","kg CO₂ ekv/kWh",IF(RIGHT(AC35,4)="(kg)","kg CO₂ ekv/kg",IF(RIGHT(AC35,4)="(mᶟ)","kg CO₂ ekv/mᶟ",IF(RIGHT(AC35,3)="(l)","kg CO₂ ekv/l",""))))</f>
        <v>kg CO₂ ekv/kWh</v>
      </c>
      <c r="AJ35" s="711" t="str">
        <f>IF(AF35="Jah", LOOKUP(AC35,'HT-Energia (M1, M2)'!$B$5:$B$43,'HT-Energia (M1, M2)'!$E$5:$E$43),IF(AF35= "Ei", " "))</f>
        <v>KHG inventuuri aruanne 2022, katlad 1-50MW</v>
      </c>
      <c r="AK35" s="549">
        <f>IF(AF35="Jah",AE35*AG35,IF(AF35="Ei",AE35*AH35))</f>
        <v>0.50663519364779286</v>
      </c>
      <c r="AL35" s="549">
        <f>AK35*0.001</f>
        <v>5.0663519364779286E-4</v>
      </c>
      <c r="AM35" s="819">
        <f>VLOOKUP(AC35,'HT-Energia (M1, M2)'!$B$48:$C$51,2,FALSE)*AE35*0.001</f>
        <v>0.80640000000000001</v>
      </c>
    </row>
    <row r="36" spans="1:39" s="297" customFormat="1" ht="14">
      <c r="B36" s="599">
        <v>1</v>
      </c>
      <c r="C36" s="923" t="s">
        <v>76</v>
      </c>
      <c r="D36" s="924"/>
      <c r="E36" s="707">
        <v>100000</v>
      </c>
      <c r="F36" s="572" t="s">
        <v>75</v>
      </c>
      <c r="G36" s="713">
        <f>IF(F36="Jah",LOOKUP(C36,'HT-Energia (M1, M2)'!$B$5:$B$43,'HT-Energia (M1, M2)'!$C$5:$C$43),IF(F36="Ei","x "))</f>
        <v>0.38426542967943061</v>
      </c>
      <c r="H36" s="709"/>
      <c r="I36" s="710" t="str">
        <f t="shared" ref="I36:I44" si="0">IF(RIGHT(C36,5)="(kWh)","kg CO₂ ekv/kWh",IF(RIGHT(C36,4)="(kg)","kg CO₂ ekv/kg",IF(RIGHT(C36,4)="(mᶟ)","kg CO₂ ekv/mᶟ",IF(RIGHT(C36,3)="(l)","kg CO₂ ekv/l",""))))</f>
        <v>kg CO₂ ekv/kWh</v>
      </c>
      <c r="J36" s="711" t="str">
        <f>IF(F36="Jah", LOOKUP(C36,'HT-Energia (M1, M2)'!$B$5:$B$43,'HT-Energia (M1, M2)'!$E$5:$E$43),IF(F36= "Ei", " "))</f>
        <v>KHG inventuuri aruanne 2022, katlad 1-50MW</v>
      </c>
      <c r="K36" s="549">
        <f t="shared" ref="K36:K44" si="1">IF(F36="Jah",E36*G36,IF(F36="Ei",E36*H36))</f>
        <v>38426.54296794306</v>
      </c>
      <c r="L36" s="549">
        <f t="shared" ref="L36:L44" si="2">K36*0.001</f>
        <v>38.426542967943064</v>
      </c>
      <c r="M36" s="819" t="e">
        <f>VLOOKUP(C36,'HT-Energia (M1, M2)'!$B$48:$C$51,2,FALSE)*E36*0.001</f>
        <v>#N/A</v>
      </c>
      <c r="O36" s="599">
        <v>2</v>
      </c>
      <c r="P36" s="923" t="s">
        <v>143</v>
      </c>
      <c r="Q36" s="924"/>
      <c r="R36" s="707">
        <v>5000</v>
      </c>
      <c r="S36" s="572" t="s">
        <v>75</v>
      </c>
      <c r="T36" s="713">
        <f>IF(S36="Jah",LOOKUP(P36,'HT-Energia (M1, M2)'!$B$5:$B$43,'HT-Energia (M1, M2)'!$C$5:$C$43),IF(S36="Ei","x "))</f>
        <v>1.2833086462288437E-4</v>
      </c>
      <c r="U36" s="709"/>
      <c r="V36" s="710" t="str">
        <f t="shared" ref="V36:V44" si="3">IF(RIGHT(P36,5)="(kWh)","kg CO₂ ekv/kWh",IF(RIGHT(P36,4)="(kg)","kg CO₂ ekv/kg",IF(RIGHT(P36,4)="(mᶟ)","kg CO₂ ekv/mᶟ",IF(RIGHT(P36,3)="(l)","kg CO₂ ekv/l",""))))</f>
        <v>kg CO₂ ekv/kWh</v>
      </c>
      <c r="W36" s="711" t="str">
        <f>IF(S36="Jah", LOOKUP(P36,'HT-Energia (M1, M2)'!$B$5:$B$43,'HT-Energia (M1, M2)'!$E$5:$E$43),IF(S36= "Ei", " "))</f>
        <v>KHG inventuuri aruanne 2022, katlad 1-50MW</v>
      </c>
      <c r="X36" s="549">
        <f t="shared" ref="X36:X44" si="4">IF(S36="Jah",R36*T36,IF(S36="Ei",R36*U36))</f>
        <v>0.64165432311442183</v>
      </c>
      <c r="Y36" s="549">
        <f t="shared" ref="Y36:Y44" si="5">X36*0.001</f>
        <v>6.4165432311442179E-4</v>
      </c>
      <c r="Z36" s="819">
        <f>VLOOKUP(P36,'HT-Energia (M1, M2)'!$B$48:$C$51,2,FALSE)*R36*0.001</f>
        <v>0.98273999999999995</v>
      </c>
      <c r="AB36" s="599"/>
      <c r="AC36" s="923"/>
      <c r="AD36" s="924"/>
      <c r="AE36" s="707"/>
      <c r="AF36" s="572" t="s">
        <v>75</v>
      </c>
      <c r="AG36" s="713" t="e">
        <f>IF(AF36="Jah",LOOKUP(AC36,'HT-Energia (M1, M2)'!$B$5:$B$43,'HT-Energia (M1, M2)'!$C$5:$C$43),IF(AF36="Ei","x "))</f>
        <v>#N/A</v>
      </c>
      <c r="AH36" s="709"/>
      <c r="AI36" s="710" t="str">
        <f t="shared" ref="AI36:AI44" si="6">IF(RIGHT(AC36,5)="(kWh)","kg CO₂ ekv/kWh",IF(RIGHT(AC36,4)="(kg)","kg CO₂ ekv/kg",IF(RIGHT(AC36,4)="(mᶟ)","kg CO₂ ekv/mᶟ",IF(RIGHT(AC36,3)="(l)","kg CO₂ ekv/l",""))))</f>
        <v/>
      </c>
      <c r="AJ36" s="711" t="e">
        <f>IF(AF36="Jah", LOOKUP(AC36,'HT-Energia (M1, M2)'!$B$5:$B$43,'HT-Energia (M1, M2)'!$E$5:$E$43),IF(AF36= "Ei", " "))</f>
        <v>#N/A</v>
      </c>
      <c r="AK36" s="549" t="e">
        <f t="shared" ref="AK36:AK44" si="7">IF(AF36="Jah",AE36*AG36,IF(AF36="Ei",AE36*AH36))</f>
        <v>#N/A</v>
      </c>
      <c r="AL36" s="549" t="e">
        <f t="shared" ref="AL36:AL44" si="8">AK36*0.001</f>
        <v>#N/A</v>
      </c>
      <c r="AM36" s="819" t="e">
        <f>VLOOKUP(AC36,'HT-Energia (M1, M2)'!$B$48:$C$51,2,FALSE)*AE36*0.001</f>
        <v>#N/A</v>
      </c>
    </row>
    <row r="37" spans="1:39" s="297" customFormat="1" ht="15" customHeight="1">
      <c r="A37" s="302"/>
      <c r="B37" s="599">
        <v>2</v>
      </c>
      <c r="C37" s="923" t="s">
        <v>144</v>
      </c>
      <c r="D37" s="924"/>
      <c r="E37" s="707">
        <v>100000</v>
      </c>
      <c r="F37" s="572" t="s">
        <v>78</v>
      </c>
      <c r="G37" s="708" t="str">
        <f>IF(F37="Jah",LOOKUP(C37,'HT-Energia (M1, M2)'!$B$5:$B$43,'HT-Energia (M1, M2)'!$C$5:$C$43),IF(F37="Ei","x "))</f>
        <v xml:space="preserve">x </v>
      </c>
      <c r="H37" s="709">
        <v>0.20499999999999999</v>
      </c>
      <c r="I37" s="710" t="str">
        <f t="shared" si="0"/>
        <v>kg CO₂ ekv/l</v>
      </c>
      <c r="J37" s="711" t="str">
        <f>IF(F37="Jah", LOOKUP(C37,'HT-Energia (M1, M2)'!$B$5:$B$43,'HT-Energia (M1, M2)'!$E$5:$E$43),IF(F37= "Ei", " "))</f>
        <v xml:space="preserve"> </v>
      </c>
      <c r="K37" s="549">
        <f>IF(F37="Jah",E37*G37,IF(F37="Ei",E37*H37))</f>
        <v>20500</v>
      </c>
      <c r="L37" s="549">
        <f t="shared" si="2"/>
        <v>20.5</v>
      </c>
      <c r="M37" s="819" t="e">
        <f>VLOOKUP(C37,'HT-Energia (M1, M2)'!$B$48:$C$51,2,FALSE)*E37*0.001</f>
        <v>#N/A</v>
      </c>
      <c r="O37" s="599"/>
      <c r="P37" s="923"/>
      <c r="Q37" s="924"/>
      <c r="R37" s="707"/>
      <c r="S37" s="572" t="s">
        <v>75</v>
      </c>
      <c r="T37" s="713" t="e">
        <f>IF(S37="Jah",LOOKUP(P37,'HT-Energia (M1, M2)'!$B$5:$B$43,'HT-Energia (M1, M2)'!$C$5:$C$43),IF(S37="Ei","x "))</f>
        <v>#N/A</v>
      </c>
      <c r="U37" s="709"/>
      <c r="V37" s="710" t="str">
        <f t="shared" si="3"/>
        <v/>
      </c>
      <c r="W37" s="711" t="e">
        <f>IF(S37="Jah", LOOKUP(P37,'HT-Energia (M1, M2)'!$B$5:$B$43,'HT-Energia (M1, M2)'!$E$5:$E$43),IF(S37= "Ei", " "))</f>
        <v>#N/A</v>
      </c>
      <c r="X37" s="549" t="e">
        <f t="shared" si="4"/>
        <v>#N/A</v>
      </c>
      <c r="Y37" s="549" t="e">
        <f t="shared" si="5"/>
        <v>#N/A</v>
      </c>
      <c r="Z37" s="819" t="e">
        <f>VLOOKUP(P37,'HT-Energia (M1, M2)'!$B$48:$C$51,2,FALSE)*R37*0.001</f>
        <v>#N/A</v>
      </c>
      <c r="AB37" s="599"/>
      <c r="AC37" s="923"/>
      <c r="AD37" s="924"/>
      <c r="AE37" s="707"/>
      <c r="AF37" s="572" t="s">
        <v>75</v>
      </c>
      <c r="AG37" s="713" t="e">
        <f>IF(AF37="Jah",LOOKUP(AC37,'HT-Energia (M1, M2)'!$B$5:$B$43,'HT-Energia (M1, M2)'!$C$5:$C$43),IF(AF37="Ei","x "))</f>
        <v>#N/A</v>
      </c>
      <c r="AH37" s="709"/>
      <c r="AI37" s="710" t="str">
        <f t="shared" si="6"/>
        <v/>
      </c>
      <c r="AJ37" s="711" t="e">
        <f>IF(AF37="Jah", LOOKUP(AC37,'HT-Energia (M1, M2)'!$B$5:$B$43,'HT-Energia (M1, M2)'!$E$5:$E$43),IF(AF37= "Ei", " "))</f>
        <v>#N/A</v>
      </c>
      <c r="AK37" s="549" t="e">
        <f t="shared" si="7"/>
        <v>#N/A</v>
      </c>
      <c r="AL37" s="549" t="e">
        <f t="shared" si="8"/>
        <v>#N/A</v>
      </c>
      <c r="AM37" s="819" t="e">
        <f>VLOOKUP(AC37,'HT-Energia (M1, M2)'!$B$48:$C$51,2,FALSE)*AE37*0.001</f>
        <v>#N/A</v>
      </c>
    </row>
    <row r="38" spans="1:39" s="297" customFormat="1" ht="15" customHeight="1">
      <c r="A38" s="302"/>
      <c r="B38" s="599"/>
      <c r="C38" s="923"/>
      <c r="D38" s="924"/>
      <c r="E38" s="707">
        <v>5000</v>
      </c>
      <c r="F38" s="572" t="s">
        <v>75</v>
      </c>
      <c r="G38" s="708" t="e">
        <f>IF(F38="Jah",LOOKUP(C38,'HT-Energia (M1, M2)'!$B$5:$B$43,'HT-Energia (M1, M2)'!$C$5:$C$43),IF(F38="Ei","x "))</f>
        <v>#N/A</v>
      </c>
      <c r="H38" s="709"/>
      <c r="I38" s="710" t="str">
        <f t="shared" si="0"/>
        <v/>
      </c>
      <c r="J38" s="711" t="e">
        <f>IF(F38="Jah", LOOKUP(C38,'HT-Energia (M1, M2)'!$B$5:$B$43,'HT-Energia (M1, M2)'!$E$5:$E$43),IF(F38= "Ei", " "))</f>
        <v>#N/A</v>
      </c>
      <c r="K38" s="549" t="e">
        <f t="shared" si="1"/>
        <v>#N/A</v>
      </c>
      <c r="L38" s="549" t="e">
        <f t="shared" si="2"/>
        <v>#N/A</v>
      </c>
      <c r="M38" s="819" t="e">
        <f>VLOOKUP(C38,'HT-Energia (M1, M2)'!$B$48:$C$51,2,FALSE)*E38*0.001</f>
        <v>#N/A</v>
      </c>
      <c r="O38" s="599"/>
      <c r="P38" s="923"/>
      <c r="Q38" s="924"/>
      <c r="R38" s="707"/>
      <c r="S38" s="572" t="s">
        <v>75</v>
      </c>
      <c r="T38" s="713" t="e">
        <f>IF(S38="Jah",LOOKUP(P38,'HT-Energia (M1, M2)'!$B$5:$B$43,'HT-Energia (M1, M2)'!$C$5:$C$43),IF(S38="Ei","x "))</f>
        <v>#N/A</v>
      </c>
      <c r="U38" s="709"/>
      <c r="V38" s="710" t="str">
        <f t="shared" si="3"/>
        <v/>
      </c>
      <c r="W38" s="711" t="e">
        <f>IF(S38="Jah", LOOKUP(P38,'HT-Energia (M1, M2)'!$B$5:$B$43,'HT-Energia (M1, M2)'!$E$5:$E$43),IF(S38= "Ei", " "))</f>
        <v>#N/A</v>
      </c>
      <c r="X38" s="549" t="e">
        <f t="shared" si="4"/>
        <v>#N/A</v>
      </c>
      <c r="Y38" s="549" t="e">
        <f t="shared" si="5"/>
        <v>#N/A</v>
      </c>
      <c r="Z38" s="819" t="e">
        <f>VLOOKUP(P38,'HT-Energia (M1, M2)'!$B$48:$C$51,2,FALSE)*R38*0.001</f>
        <v>#N/A</v>
      </c>
      <c r="AB38" s="599"/>
      <c r="AC38" s="923"/>
      <c r="AD38" s="924"/>
      <c r="AE38" s="707"/>
      <c r="AF38" s="572" t="s">
        <v>75</v>
      </c>
      <c r="AG38" s="713" t="e">
        <f>IF(AF38="Jah",LOOKUP(AC38,'HT-Energia (M1, M2)'!$B$5:$B$43,'HT-Energia (M1, M2)'!$C$5:$C$43),IF(AF38="Ei","x "))</f>
        <v>#N/A</v>
      </c>
      <c r="AH38" s="709"/>
      <c r="AI38" s="710" t="str">
        <f t="shared" si="6"/>
        <v/>
      </c>
      <c r="AJ38" s="711" t="e">
        <f>IF(AF38="Jah", LOOKUP(AC38,'HT-Energia (M1, M2)'!$B$5:$B$43,'HT-Energia (M1, M2)'!$E$5:$E$43),IF(AF38= "Ei", " "))</f>
        <v>#N/A</v>
      </c>
      <c r="AK38" s="549" t="e">
        <f t="shared" si="7"/>
        <v>#N/A</v>
      </c>
      <c r="AL38" s="549" t="e">
        <f t="shared" si="8"/>
        <v>#N/A</v>
      </c>
      <c r="AM38" s="819" t="e">
        <f>VLOOKUP(AC38,'HT-Energia (M1, M2)'!$B$48:$C$51,2,FALSE)*AE38*0.001</f>
        <v>#N/A</v>
      </c>
    </row>
    <row r="39" spans="1:39" s="297" customFormat="1" ht="15" customHeight="1">
      <c r="A39" s="302"/>
      <c r="B39" s="599"/>
      <c r="C39" s="923"/>
      <c r="D39" s="924"/>
      <c r="E39" s="707"/>
      <c r="F39" s="572" t="s">
        <v>75</v>
      </c>
      <c r="G39" s="708" t="e">
        <f>IF(F39="Jah",LOOKUP(C39,'HT-Energia (M1, M2)'!$B$5:$B$43,'HT-Energia (M1, M2)'!$C$5:$C$43),IF(F39="Ei","x "))</f>
        <v>#N/A</v>
      </c>
      <c r="H39" s="709"/>
      <c r="I39" s="710" t="str">
        <f t="shared" si="0"/>
        <v/>
      </c>
      <c r="J39" s="711" t="e">
        <f>IF(F39="Jah", LOOKUP(C39,'HT-Energia (M1, M2)'!$B$5:$B$43,'HT-Energia (M1, M2)'!$E$5:$E$43),IF(F39= "Ei", " "))</f>
        <v>#N/A</v>
      </c>
      <c r="K39" s="549" t="e">
        <f t="shared" si="1"/>
        <v>#N/A</v>
      </c>
      <c r="L39" s="549" t="e">
        <f t="shared" si="2"/>
        <v>#N/A</v>
      </c>
      <c r="M39" s="819" t="e">
        <f>VLOOKUP(C39,'HT-Energia (M1, M2)'!$B$48:$C$51,2,FALSE)*E39*0.001</f>
        <v>#N/A</v>
      </c>
      <c r="O39" s="599"/>
      <c r="P39" s="923"/>
      <c r="Q39" s="924"/>
      <c r="R39" s="707"/>
      <c r="S39" s="572" t="s">
        <v>75</v>
      </c>
      <c r="T39" s="713" t="e">
        <f>IF(S39="Jah",LOOKUP(P39,'HT-Energia (M1, M2)'!$B$5:$B$43,'HT-Energia (M1, M2)'!$C$5:$C$43),IF(S39="Ei","x "))</f>
        <v>#N/A</v>
      </c>
      <c r="U39" s="709"/>
      <c r="V39" s="710" t="str">
        <f t="shared" si="3"/>
        <v/>
      </c>
      <c r="W39" s="711" t="e">
        <f>IF(S39="Jah", LOOKUP(P39,'HT-Energia (M1, M2)'!$B$5:$B$43,'HT-Energia (M1, M2)'!$E$5:$E$43),IF(S39= "Ei", " "))</f>
        <v>#N/A</v>
      </c>
      <c r="X39" s="549" t="e">
        <f t="shared" si="4"/>
        <v>#N/A</v>
      </c>
      <c r="Y39" s="549" t="e">
        <f t="shared" si="5"/>
        <v>#N/A</v>
      </c>
      <c r="Z39" s="819" t="e">
        <f>VLOOKUP(P39,'HT-Energia (M1, M2)'!$B$48:$C$51,2,FALSE)*R39*0.001</f>
        <v>#N/A</v>
      </c>
      <c r="AB39" s="599"/>
      <c r="AC39" s="923"/>
      <c r="AD39" s="924"/>
      <c r="AE39" s="707"/>
      <c r="AF39" s="572" t="s">
        <v>75</v>
      </c>
      <c r="AG39" s="713" t="e">
        <f>IF(AF39="Jah",LOOKUP(AC39,'HT-Energia (M1, M2)'!$B$5:$B$43,'HT-Energia (M1, M2)'!$C$5:$C$43),IF(AF39="Ei","x "))</f>
        <v>#N/A</v>
      </c>
      <c r="AH39" s="709"/>
      <c r="AI39" s="710" t="str">
        <f t="shared" si="6"/>
        <v/>
      </c>
      <c r="AJ39" s="711" t="e">
        <f>IF(AF39="Jah", LOOKUP(AC39,'HT-Energia (M1, M2)'!$B$5:$B$43,'HT-Energia (M1, M2)'!$E$5:$E$43),IF(AF39= "Ei", " "))</f>
        <v>#N/A</v>
      </c>
      <c r="AK39" s="549" t="e">
        <f t="shared" si="7"/>
        <v>#N/A</v>
      </c>
      <c r="AL39" s="549" t="e">
        <f t="shared" si="8"/>
        <v>#N/A</v>
      </c>
      <c r="AM39" s="819" t="e">
        <f>VLOOKUP(AC39,'HT-Energia (M1, M2)'!$B$48:$C$51,2,FALSE)*AE39*0.001</f>
        <v>#N/A</v>
      </c>
    </row>
    <row r="40" spans="1:39" s="297" customFormat="1" ht="15" customHeight="1">
      <c r="A40" s="302"/>
      <c r="B40" s="599"/>
      <c r="C40" s="923"/>
      <c r="D40" s="924"/>
      <c r="E40" s="707"/>
      <c r="F40" s="572" t="s">
        <v>75</v>
      </c>
      <c r="G40" s="708" t="e">
        <f>IF(F40="Jah",LOOKUP(C40,'HT-Energia (M1, M2)'!$B$5:$B$43,'HT-Energia (M1, M2)'!$C$5:$C$43),IF(F40="Ei","x "))</f>
        <v>#N/A</v>
      </c>
      <c r="H40" s="709"/>
      <c r="I40" s="710" t="str">
        <f t="shared" si="0"/>
        <v/>
      </c>
      <c r="J40" s="711" t="e">
        <f>IF(F40="Jah", LOOKUP(C40,'HT-Energia (M1, M2)'!$B$5:$B$43,'HT-Energia (M1, M2)'!$E$5:$E$43),IF(F40= "Ei", " "))</f>
        <v>#N/A</v>
      </c>
      <c r="K40" s="549" t="e">
        <f>IF(F40="Jah",E40*G40,IF(F40="Ei",E40*H40))</f>
        <v>#N/A</v>
      </c>
      <c r="L40" s="549" t="e">
        <f t="shared" si="2"/>
        <v>#N/A</v>
      </c>
      <c r="M40" s="819" t="e">
        <f>VLOOKUP(C40,'HT-Energia (M1, M2)'!$B$48:$C$51,2,FALSE)*E40*0.001</f>
        <v>#N/A</v>
      </c>
      <c r="O40" s="599"/>
      <c r="P40" s="923"/>
      <c r="Q40" s="924"/>
      <c r="R40" s="707"/>
      <c r="S40" s="572" t="s">
        <v>75</v>
      </c>
      <c r="T40" s="713" t="e">
        <f>IF(S40="Jah",LOOKUP(P40,'HT-Energia (M1, M2)'!$B$5:$B$43,'HT-Energia (M1, M2)'!$C$5:$C$43),IF(S40="Ei","x "))</f>
        <v>#N/A</v>
      </c>
      <c r="U40" s="709"/>
      <c r="V40" s="710" t="str">
        <f t="shared" si="3"/>
        <v/>
      </c>
      <c r="W40" s="711" t="e">
        <f>IF(S40="Jah", LOOKUP(P40,'HT-Energia (M1, M2)'!$B$5:$B$43,'HT-Energia (M1, M2)'!$E$5:$E$43),IF(S40= "Ei", " "))</f>
        <v>#N/A</v>
      </c>
      <c r="X40" s="549" t="e">
        <f t="shared" si="4"/>
        <v>#N/A</v>
      </c>
      <c r="Y40" s="549" t="e">
        <f t="shared" si="5"/>
        <v>#N/A</v>
      </c>
      <c r="Z40" s="819" t="e">
        <f>VLOOKUP(P40,'HT-Energia (M1, M2)'!$B$48:$C$51,2,FALSE)*R40*0.001</f>
        <v>#N/A</v>
      </c>
      <c r="AB40" s="599"/>
      <c r="AC40" s="923"/>
      <c r="AD40" s="924"/>
      <c r="AE40" s="707"/>
      <c r="AF40" s="572" t="s">
        <v>75</v>
      </c>
      <c r="AG40" s="713" t="e">
        <f>IF(AF40="Jah",LOOKUP(AC40,'HT-Energia (M1, M2)'!$B$5:$B$43,'HT-Energia (M1, M2)'!$C$5:$C$43),IF(AF40="Ei","x "))</f>
        <v>#N/A</v>
      </c>
      <c r="AH40" s="709"/>
      <c r="AI40" s="710" t="str">
        <f t="shared" si="6"/>
        <v/>
      </c>
      <c r="AJ40" s="711" t="e">
        <f>IF(AF40="Jah", LOOKUP(AC40,'HT-Energia (M1, M2)'!$B$5:$B$43,'HT-Energia (M1, M2)'!$E$5:$E$43),IF(AF40= "Ei", " "))</f>
        <v>#N/A</v>
      </c>
      <c r="AK40" s="549" t="e">
        <f t="shared" si="7"/>
        <v>#N/A</v>
      </c>
      <c r="AL40" s="549" t="e">
        <f t="shared" si="8"/>
        <v>#N/A</v>
      </c>
      <c r="AM40" s="819" t="e">
        <f>VLOOKUP(AC40,'HT-Energia (M1, M2)'!$B$48:$C$51,2,FALSE)*AE40*0.001</f>
        <v>#N/A</v>
      </c>
    </row>
    <row r="41" spans="1:39" s="297" customFormat="1" ht="15" customHeight="1">
      <c r="A41" s="302"/>
      <c r="B41" s="599"/>
      <c r="C41" s="923"/>
      <c r="D41" s="924"/>
      <c r="E41" s="707"/>
      <c r="F41" s="572" t="s">
        <v>75</v>
      </c>
      <c r="G41" s="708" t="e">
        <f>IF(F41="Jah",LOOKUP(C41,'HT-Energia (M1, M2)'!$B$5:$B$43,'HT-Energia (M1, M2)'!$C$5:$C$43),IF(F41="Ei","x "))</f>
        <v>#N/A</v>
      </c>
      <c r="H41" s="709"/>
      <c r="I41" s="710" t="str">
        <f t="shared" si="0"/>
        <v/>
      </c>
      <c r="J41" s="711" t="e">
        <f>IF(F41="Jah", LOOKUP(C41,'HT-Energia (M1, M2)'!$B$5:$B$43,'HT-Energia (M1, M2)'!$E$5:$E$43),IF(F41= "Ei", " "))</f>
        <v>#N/A</v>
      </c>
      <c r="K41" s="714" t="e">
        <f>IF(F41="Jah",E41*G41,IF(F41="Ei",E41*H41))</f>
        <v>#N/A</v>
      </c>
      <c r="L41" s="549" t="e">
        <f t="shared" si="2"/>
        <v>#N/A</v>
      </c>
      <c r="M41" s="819" t="e">
        <f>VLOOKUP(C41,'HT-Energia (M1, M2)'!$B$48:$C$51,2,FALSE)*E41*0.001</f>
        <v>#N/A</v>
      </c>
      <c r="O41" s="599"/>
      <c r="P41" s="923"/>
      <c r="Q41" s="924"/>
      <c r="R41" s="707"/>
      <c r="S41" s="572" t="s">
        <v>75</v>
      </c>
      <c r="T41" s="713" t="e">
        <f>IF(S41="Jah",LOOKUP(P41,'HT-Energia (M1, M2)'!$B$5:$B$43,'HT-Energia (M1, M2)'!$C$5:$C$43),IF(S41="Ei","x "))</f>
        <v>#N/A</v>
      </c>
      <c r="U41" s="709"/>
      <c r="V41" s="710" t="str">
        <f t="shared" si="3"/>
        <v/>
      </c>
      <c r="W41" s="711" t="e">
        <f>IF(S41="Jah", LOOKUP(P41,'HT-Energia (M1, M2)'!$B$5:$B$43,'HT-Energia (M1, M2)'!$E$5:$E$43),IF(S41= "Ei", " "))</f>
        <v>#N/A</v>
      </c>
      <c r="X41" s="549" t="e">
        <f t="shared" si="4"/>
        <v>#N/A</v>
      </c>
      <c r="Y41" s="549" t="e">
        <f t="shared" si="5"/>
        <v>#N/A</v>
      </c>
      <c r="Z41" s="819" t="e">
        <f>VLOOKUP(P41,'HT-Energia (M1, M2)'!$B$48:$C$51,2,FALSE)*R41*0.001</f>
        <v>#N/A</v>
      </c>
      <c r="AB41" s="599"/>
      <c r="AC41" s="923"/>
      <c r="AD41" s="924"/>
      <c r="AE41" s="707"/>
      <c r="AF41" s="572" t="s">
        <v>75</v>
      </c>
      <c r="AG41" s="713" t="e">
        <f>IF(AF41="Jah",LOOKUP(AC41,'HT-Energia (M1, M2)'!$B$5:$B$43,'HT-Energia (M1, M2)'!$C$5:$C$43),IF(AF41="Ei","x "))</f>
        <v>#N/A</v>
      </c>
      <c r="AH41" s="709"/>
      <c r="AI41" s="710" t="str">
        <f t="shared" si="6"/>
        <v/>
      </c>
      <c r="AJ41" s="711" t="e">
        <f>IF(AF41="Jah", LOOKUP(AC41,'HT-Energia (M1, M2)'!$B$5:$B$43,'HT-Energia (M1, M2)'!$E$5:$E$43),IF(AF41= "Ei", " "))</f>
        <v>#N/A</v>
      </c>
      <c r="AK41" s="549" t="e">
        <f t="shared" si="7"/>
        <v>#N/A</v>
      </c>
      <c r="AL41" s="549" t="e">
        <f t="shared" si="8"/>
        <v>#N/A</v>
      </c>
      <c r="AM41" s="819" t="e">
        <f>VLOOKUP(AC41,'HT-Energia (M1, M2)'!$B$48:$C$51,2,FALSE)*AE41*0.001</f>
        <v>#N/A</v>
      </c>
    </row>
    <row r="42" spans="1:39" s="297" customFormat="1" ht="15" customHeight="1">
      <c r="A42" s="302"/>
      <c r="B42" s="599"/>
      <c r="C42" s="923"/>
      <c r="D42" s="924"/>
      <c r="E42" s="707"/>
      <c r="F42" s="572" t="s">
        <v>75</v>
      </c>
      <c r="G42" s="708" t="e">
        <f>IF(F42="Jah",LOOKUP(C42,'HT-Energia (M1, M2)'!$B$5:$B$43,'HT-Energia (M1, M2)'!$C$5:$C$43),IF(F42="Ei","x "))</f>
        <v>#N/A</v>
      </c>
      <c r="H42" s="709"/>
      <c r="I42" s="710" t="str">
        <f t="shared" si="0"/>
        <v/>
      </c>
      <c r="J42" s="711" t="e">
        <f>IF(F42="Jah", LOOKUP(C42,'HT-Energia (M1, M2)'!$B$5:$B$43,'HT-Energia (M1, M2)'!$E$5:$E$43),IF(F42= "Ei", " "))</f>
        <v>#N/A</v>
      </c>
      <c r="K42" s="549" t="e">
        <f t="shared" si="1"/>
        <v>#N/A</v>
      </c>
      <c r="L42" s="549" t="e">
        <f t="shared" si="2"/>
        <v>#N/A</v>
      </c>
      <c r="M42" s="819" t="e">
        <f>VLOOKUP(C42,'HT-Energia (M1, M2)'!$B$48:$C$51,2,FALSE)*E42*0.001</f>
        <v>#N/A</v>
      </c>
      <c r="O42" s="599"/>
      <c r="P42" s="923"/>
      <c r="Q42" s="924"/>
      <c r="R42" s="707"/>
      <c r="S42" s="572" t="s">
        <v>75</v>
      </c>
      <c r="T42" s="713" t="e">
        <f>IF(S42="Jah",LOOKUP(P42,'HT-Energia (M1, M2)'!$B$5:$B$43,'HT-Energia (M1, M2)'!$C$5:$C$43),IF(S42="Ei","x "))</f>
        <v>#N/A</v>
      </c>
      <c r="U42" s="709"/>
      <c r="V42" s="710" t="str">
        <f t="shared" si="3"/>
        <v/>
      </c>
      <c r="W42" s="711" t="e">
        <f>IF(S42="Jah", LOOKUP(P42,'HT-Energia (M1, M2)'!$B$5:$B$43,'HT-Energia (M1, M2)'!$E$5:$E$43),IF(S42= "Ei", " "))</f>
        <v>#N/A</v>
      </c>
      <c r="X42" s="549" t="e">
        <f t="shared" si="4"/>
        <v>#N/A</v>
      </c>
      <c r="Y42" s="549" t="e">
        <f t="shared" si="5"/>
        <v>#N/A</v>
      </c>
      <c r="Z42" s="819" t="e">
        <f>VLOOKUP(P42,'HT-Energia (M1, M2)'!$B$48:$C$51,2,FALSE)*R42*0.001</f>
        <v>#N/A</v>
      </c>
      <c r="AB42" s="599"/>
      <c r="AC42" s="923"/>
      <c r="AD42" s="924"/>
      <c r="AE42" s="707"/>
      <c r="AF42" s="572" t="s">
        <v>75</v>
      </c>
      <c r="AG42" s="713" t="e">
        <f>IF(AF42="Jah",LOOKUP(AC42,'HT-Energia (M1, M2)'!$B$5:$B$43,'HT-Energia (M1, M2)'!$C$5:$C$43),IF(AF42="Ei","x "))</f>
        <v>#N/A</v>
      </c>
      <c r="AH42" s="709"/>
      <c r="AI42" s="710" t="str">
        <f t="shared" si="6"/>
        <v/>
      </c>
      <c r="AJ42" s="711" t="e">
        <f>IF(AF42="Jah", LOOKUP(AC42,'HT-Energia (M1, M2)'!$B$5:$B$43,'HT-Energia (M1, M2)'!$E$5:$E$43),IF(AF42= "Ei", " "))</f>
        <v>#N/A</v>
      </c>
      <c r="AK42" s="549" t="e">
        <f t="shared" si="7"/>
        <v>#N/A</v>
      </c>
      <c r="AL42" s="549" t="e">
        <f t="shared" si="8"/>
        <v>#N/A</v>
      </c>
      <c r="AM42" s="819" t="e">
        <f>VLOOKUP(AC42,'HT-Energia (M1, M2)'!$B$48:$C$51,2,FALSE)*AE42*0.001</f>
        <v>#N/A</v>
      </c>
    </row>
    <row r="43" spans="1:39" s="297" customFormat="1" ht="15" customHeight="1">
      <c r="A43" s="302"/>
      <c r="B43" s="599"/>
      <c r="C43" s="923"/>
      <c r="D43" s="924"/>
      <c r="E43" s="707"/>
      <c r="F43" s="572" t="s">
        <v>75</v>
      </c>
      <c r="G43" s="708" t="e">
        <f>IF(F43="Jah",LOOKUP(C43,'HT-Energia (M1, M2)'!$B$5:$B$43,'HT-Energia (M1, M2)'!$C$5:$C$43),IF(F43="Ei","x "))</f>
        <v>#N/A</v>
      </c>
      <c r="H43" s="709"/>
      <c r="I43" s="710" t="str">
        <f t="shared" si="0"/>
        <v/>
      </c>
      <c r="J43" s="711" t="e">
        <f>IF(F43="Jah", LOOKUP(C43,'HT-Energia (M1, M2)'!$B$5:$B$43,'HT-Energia (M1, M2)'!$E$5:$E$43),IF(F43= "Ei", " "))</f>
        <v>#N/A</v>
      </c>
      <c r="K43" s="549" t="e">
        <f t="shared" si="1"/>
        <v>#N/A</v>
      </c>
      <c r="L43" s="549" t="e">
        <f t="shared" si="2"/>
        <v>#N/A</v>
      </c>
      <c r="M43" s="819" t="e">
        <f>VLOOKUP(C43,'HT-Energia (M1, M2)'!$B$48:$C$51,2,FALSE)*E43*0.001</f>
        <v>#N/A</v>
      </c>
      <c r="O43" s="599"/>
      <c r="P43" s="923"/>
      <c r="Q43" s="924"/>
      <c r="R43" s="707"/>
      <c r="S43" s="572" t="s">
        <v>75</v>
      </c>
      <c r="T43" s="713" t="e">
        <f>IF(S43="Jah",LOOKUP(P43,'HT-Energia (M1, M2)'!$B$5:$B$43,'HT-Energia (M1, M2)'!$C$5:$C$43),IF(S43="Ei","x "))</f>
        <v>#N/A</v>
      </c>
      <c r="U43" s="709"/>
      <c r="V43" s="710" t="str">
        <f t="shared" si="3"/>
        <v/>
      </c>
      <c r="W43" s="711" t="e">
        <f>IF(S43="Jah", LOOKUP(P43,'HT-Energia (M1, M2)'!$B$5:$B$43,'HT-Energia (M1, M2)'!$E$5:$E$43),IF(S43= "Ei", " "))</f>
        <v>#N/A</v>
      </c>
      <c r="X43" s="549" t="e">
        <f t="shared" si="4"/>
        <v>#N/A</v>
      </c>
      <c r="Y43" s="549" t="e">
        <f t="shared" si="5"/>
        <v>#N/A</v>
      </c>
      <c r="Z43" s="819" t="e">
        <f>VLOOKUP(P43,'HT-Energia (M1, M2)'!$B$48:$C$51,2,FALSE)*R43*0.001</f>
        <v>#N/A</v>
      </c>
      <c r="AB43" s="599"/>
      <c r="AC43" s="923"/>
      <c r="AD43" s="924"/>
      <c r="AE43" s="707"/>
      <c r="AF43" s="572" t="s">
        <v>75</v>
      </c>
      <c r="AG43" s="713" t="e">
        <f>IF(AF43="Jah",LOOKUP(AC43,'HT-Energia (M1, M2)'!$B$5:$B$43,'HT-Energia (M1, M2)'!$C$5:$C$43),IF(AF43="Ei","x "))</f>
        <v>#N/A</v>
      </c>
      <c r="AH43" s="709"/>
      <c r="AI43" s="710" t="str">
        <f t="shared" si="6"/>
        <v/>
      </c>
      <c r="AJ43" s="711" t="e">
        <f>IF(AF43="Jah", LOOKUP(AC43,'HT-Energia (M1, M2)'!$B$5:$B$43,'HT-Energia (M1, M2)'!$E$5:$E$43),IF(AF43= "Ei", " "))</f>
        <v>#N/A</v>
      </c>
      <c r="AK43" s="549" t="e">
        <f t="shared" si="7"/>
        <v>#N/A</v>
      </c>
      <c r="AL43" s="549" t="e">
        <f t="shared" si="8"/>
        <v>#N/A</v>
      </c>
      <c r="AM43" s="819" t="e">
        <f>VLOOKUP(AC43,'HT-Energia (M1, M2)'!$B$48:$C$51,2,FALSE)*AE43*0.001</f>
        <v>#N/A</v>
      </c>
    </row>
    <row r="44" spans="1:39" s="297" customFormat="1" ht="15" customHeight="1" thickBot="1">
      <c r="A44" s="302"/>
      <c r="B44" s="715"/>
      <c r="C44" s="930"/>
      <c r="D44" s="931"/>
      <c r="E44" s="716"/>
      <c r="F44" s="576" t="s">
        <v>75</v>
      </c>
      <c r="G44" s="717" t="e">
        <f>IF(F44="Jah",LOOKUP(C44,'HT-Energia (M1, M2)'!$B$5:$B$43,'HT-Energia (M1, M2)'!$C$5:$C$43),IF(F44="Ei","x "))</f>
        <v>#N/A</v>
      </c>
      <c r="H44" s="718"/>
      <c r="I44" s="710" t="str">
        <f t="shared" si="0"/>
        <v/>
      </c>
      <c r="J44" s="719" t="e">
        <f>IF(F44="Jah", LOOKUP(C44,'HT-Energia (M1, M2)'!$B$5:$B$43,'HT-Energia (M1, M2)'!$E$5:$E$43),IF(F44= "Ei", " "))</f>
        <v>#N/A</v>
      </c>
      <c r="K44" s="552" t="e">
        <f t="shared" si="1"/>
        <v>#N/A</v>
      </c>
      <c r="L44" s="552" t="e">
        <f t="shared" si="2"/>
        <v>#N/A</v>
      </c>
      <c r="M44" s="819" t="e">
        <f>VLOOKUP(C44,'HT-Energia (M1, M2)'!$B$48:$C$51,2,FALSE)*E44*0.001</f>
        <v>#N/A</v>
      </c>
      <c r="O44" s="715"/>
      <c r="P44" s="930"/>
      <c r="Q44" s="931"/>
      <c r="R44" s="716"/>
      <c r="S44" s="576" t="s">
        <v>75</v>
      </c>
      <c r="T44" s="713" t="e">
        <f>IF(S44="Jah",LOOKUP(P44,'HT-Energia (M1, M2)'!$B$5:$B$43,'HT-Energia (M1, M2)'!$C$5:$C$43),IF(S44="Ei","x "))</f>
        <v>#N/A</v>
      </c>
      <c r="U44" s="718"/>
      <c r="V44" s="710" t="str">
        <f t="shared" si="3"/>
        <v/>
      </c>
      <c r="W44" s="711" t="e">
        <f>IF(S44="Jah", LOOKUP(P44,'HT-Energia (M1, M2)'!$B$5:$B$43,'HT-Energia (M1, M2)'!$E$5:$E$43),IF(S44= "Ei", " "))</f>
        <v>#N/A</v>
      </c>
      <c r="X44" s="552" t="e">
        <f t="shared" si="4"/>
        <v>#N/A</v>
      </c>
      <c r="Y44" s="552" t="e">
        <f t="shared" si="5"/>
        <v>#N/A</v>
      </c>
      <c r="Z44" s="819" t="e">
        <f>VLOOKUP(P44,'HT-Energia (M1, M2)'!$B$48:$C$51,2,FALSE)*R44*0.001</f>
        <v>#N/A</v>
      </c>
      <c r="AB44" s="715"/>
      <c r="AC44" s="930"/>
      <c r="AD44" s="931"/>
      <c r="AE44" s="716"/>
      <c r="AF44" s="576" t="s">
        <v>75</v>
      </c>
      <c r="AG44" s="713" t="e">
        <f>IF(AF44="Jah",LOOKUP(AC44,'HT-Energia (M1, M2)'!$B$5:$B$43,'HT-Energia (M1, M2)'!$C$5:$C$43),IF(AF44="Ei","x "))</f>
        <v>#N/A</v>
      </c>
      <c r="AH44" s="718"/>
      <c r="AI44" s="710" t="str">
        <f t="shared" si="6"/>
        <v/>
      </c>
      <c r="AJ44" s="711" t="e">
        <f>IF(AF44="Jah", LOOKUP(AC44,'HT-Energia (M1, M2)'!$B$5:$B$43,'HT-Energia (M1, M2)'!$E$5:$E$43),IF(AF44= "Ei", " "))</f>
        <v>#N/A</v>
      </c>
      <c r="AK44" s="552" t="e">
        <f t="shared" si="7"/>
        <v>#N/A</v>
      </c>
      <c r="AL44" s="552" t="e">
        <f t="shared" si="8"/>
        <v>#N/A</v>
      </c>
      <c r="AM44" s="819" t="e">
        <f>VLOOKUP(AC44,'HT-Energia (M1, M2)'!$B$48:$C$51,2,FALSE)*AE44*0.001</f>
        <v>#N/A</v>
      </c>
    </row>
    <row r="45" spans="1:39" s="297" customFormat="1" ht="15" customHeight="1" thickTop="1" thickBot="1">
      <c r="A45" s="302"/>
      <c r="B45" s="579"/>
      <c r="C45" s="580"/>
      <c r="D45" s="580"/>
      <c r="E45" s="580"/>
      <c r="F45" s="580"/>
      <c r="G45" s="580"/>
      <c r="H45" s="580"/>
      <c r="I45" s="580"/>
      <c r="J45" s="533" t="s">
        <v>1715</v>
      </c>
      <c r="K45" s="672">
        <f>SUMIF(K35:K44,"&lt;&gt;#N/A")</f>
        <v>58951.874727625451</v>
      </c>
      <c r="L45" s="720">
        <f>SUMIF(L35:L44,"&lt;&gt;#N/A")</f>
        <v>58.951874727625452</v>
      </c>
      <c r="M45" s="820">
        <f>SUMIF(M35:M44,"&lt;&gt;#N/A")</f>
        <v>40.32</v>
      </c>
      <c r="O45" s="579"/>
      <c r="P45" s="580"/>
      <c r="Q45" s="580"/>
      <c r="R45" s="580"/>
      <c r="S45" s="580"/>
      <c r="T45" s="580"/>
      <c r="U45" s="580"/>
      <c r="V45" s="580"/>
      <c r="W45" s="533" t="s">
        <v>1592</v>
      </c>
      <c r="X45" s="672">
        <f>SUMIF(X35:X44,"&lt;&gt;#N/A")</f>
        <v>42.509423798175085</v>
      </c>
      <c r="Y45" s="582">
        <f>SUMIF(Y35:Y44,"&lt;&gt;#N/A")</f>
        <v>4.2509423798175086E-2</v>
      </c>
      <c r="Z45" s="535">
        <f>SUMIF(Z35:Z44,"&lt;&gt;#N/A")</f>
        <v>67.622740000000007</v>
      </c>
      <c r="AB45" s="579"/>
      <c r="AC45" s="580"/>
      <c r="AD45" s="580"/>
      <c r="AE45" s="580"/>
      <c r="AF45" s="580"/>
      <c r="AG45" s="580"/>
      <c r="AH45" s="580"/>
      <c r="AI45" s="580"/>
      <c r="AJ45" s="533" t="s">
        <v>1592</v>
      </c>
      <c r="AK45" s="672">
        <f>SUMIF(AK35:AK44,"&lt;&gt;#N/A")</f>
        <v>0.50663519364779286</v>
      </c>
      <c r="AL45" s="582">
        <f>SUMIF(AL35:AL44,"&lt;&gt;#N/A")</f>
        <v>5.0663519364779286E-4</v>
      </c>
      <c r="AM45" s="535">
        <f>SUMIF(AM35:AM44,"&lt;&gt;#N/A")</f>
        <v>0.80640000000000001</v>
      </c>
    </row>
    <row r="46" spans="1:39" s="297" customFormat="1" ht="15" customHeight="1" thickTop="1">
      <c r="A46" s="302"/>
    </row>
    <row r="47" spans="1:39" s="297" customFormat="1" ht="15" customHeight="1">
      <c r="A47" s="302"/>
      <c r="B47" s="536"/>
      <c r="C47" s="537"/>
      <c r="D47" s="537"/>
      <c r="E47" s="537"/>
      <c r="F47" s="537"/>
      <c r="G47" s="537"/>
      <c r="H47" s="537"/>
      <c r="I47" s="537"/>
      <c r="J47" s="538" t="s">
        <v>1575</v>
      </c>
      <c r="K47" s="539">
        <f>SUMIF(B35:B44,1,K35:K44)</f>
        <v>38451.874727625451</v>
      </c>
      <c r="L47" s="540">
        <f>K47*0.001</f>
        <v>38.451874727625452</v>
      </c>
      <c r="O47" s="536"/>
      <c r="P47" s="537"/>
      <c r="Q47" s="537"/>
      <c r="R47" s="537"/>
      <c r="S47" s="537"/>
      <c r="T47" s="537"/>
      <c r="U47" s="537"/>
      <c r="V47" s="537"/>
      <c r="W47" s="538" t="s">
        <v>1575</v>
      </c>
      <c r="X47" s="539">
        <f>SUMIF(O35:O44,1,X35:X44)</f>
        <v>41.867769475060662</v>
      </c>
      <c r="Y47" s="540">
        <f>X47*0.001</f>
        <v>4.1867769475060664E-2</v>
      </c>
      <c r="AB47" s="536"/>
      <c r="AC47" s="537"/>
      <c r="AD47" s="537"/>
      <c r="AE47" s="537"/>
      <c r="AF47" s="537"/>
      <c r="AG47" s="537"/>
      <c r="AH47" s="537"/>
      <c r="AI47" s="537"/>
      <c r="AJ47" s="538" t="s">
        <v>1575</v>
      </c>
      <c r="AK47" s="539">
        <f>SUMIF(AB35:AB44,1,AK35:AK44)</f>
        <v>0</v>
      </c>
      <c r="AL47" s="540">
        <f>AK47*0.001</f>
        <v>0</v>
      </c>
    </row>
    <row r="48" spans="1:39" s="297" customFormat="1" ht="15" customHeight="1">
      <c r="A48" s="302"/>
      <c r="B48" s="536"/>
      <c r="C48" s="537"/>
      <c r="D48" s="537"/>
      <c r="E48" s="537"/>
      <c r="F48" s="537"/>
      <c r="G48" s="537"/>
      <c r="H48" s="537"/>
      <c r="I48" s="537"/>
      <c r="J48" s="538" t="s">
        <v>1576</v>
      </c>
      <c r="K48" s="539">
        <f>SUMIF(B35:B44,2,K35:K44)</f>
        <v>20500</v>
      </c>
      <c r="L48" s="540">
        <f t="shared" ref="L48:L49" si="9">K48*0.001</f>
        <v>20.5</v>
      </c>
      <c r="O48" s="536"/>
      <c r="P48" s="537"/>
      <c r="Q48" s="537"/>
      <c r="R48" s="537"/>
      <c r="S48" s="537"/>
      <c r="T48" s="537"/>
      <c r="U48" s="537"/>
      <c r="V48" s="537"/>
      <c r="W48" s="538" t="s">
        <v>1576</v>
      </c>
      <c r="X48" s="539">
        <f>SUMIF(O35:O44,2,X35:X44)</f>
        <v>0.64165432311442183</v>
      </c>
      <c r="Y48" s="540">
        <f t="shared" ref="Y48:Y49" si="10">X48*0.001</f>
        <v>6.4165432311442179E-4</v>
      </c>
      <c r="AB48" s="536"/>
      <c r="AC48" s="537"/>
      <c r="AD48" s="537"/>
      <c r="AE48" s="537"/>
      <c r="AF48" s="537"/>
      <c r="AG48" s="537"/>
      <c r="AH48" s="537"/>
      <c r="AI48" s="537"/>
      <c r="AJ48" s="538" t="s">
        <v>1576</v>
      </c>
      <c r="AK48" s="539">
        <f>SUMIF(AB35:AB44,2,AK35:AK44)</f>
        <v>0.50663519364779286</v>
      </c>
      <c r="AL48" s="540">
        <f t="shared" ref="AL48:AL49" si="11">AK48*0.001</f>
        <v>5.0663519364779286E-4</v>
      </c>
    </row>
    <row r="49" spans="1:38" s="297" customFormat="1" ht="15" customHeight="1">
      <c r="B49" s="536"/>
      <c r="C49" s="537"/>
      <c r="D49" s="537"/>
      <c r="E49" s="537"/>
      <c r="F49" s="537"/>
      <c r="G49" s="537"/>
      <c r="H49" s="537"/>
      <c r="I49" s="537"/>
      <c r="J49" s="538" t="s">
        <v>1577</v>
      </c>
      <c r="K49" s="539">
        <f>SUMIF(B35:B44,3,K35:K44)</f>
        <v>0</v>
      </c>
      <c r="L49" s="540">
        <f t="shared" si="9"/>
        <v>0</v>
      </c>
      <c r="O49" s="536"/>
      <c r="P49" s="537"/>
      <c r="Q49" s="537"/>
      <c r="R49" s="537"/>
      <c r="S49" s="537"/>
      <c r="T49" s="537"/>
      <c r="U49" s="537"/>
      <c r="V49" s="537"/>
      <c r="W49" s="538" t="s">
        <v>1577</v>
      </c>
      <c r="X49" s="539">
        <f>SUMIF(O35:O44,3,X35:X44)</f>
        <v>0</v>
      </c>
      <c r="Y49" s="540">
        <f t="shared" si="10"/>
        <v>0</v>
      </c>
      <c r="AB49" s="536"/>
      <c r="AC49" s="537"/>
      <c r="AD49" s="537"/>
      <c r="AE49" s="537"/>
      <c r="AF49" s="537"/>
      <c r="AG49" s="537"/>
      <c r="AH49" s="537"/>
      <c r="AI49" s="537"/>
      <c r="AJ49" s="538" t="s">
        <v>1577</v>
      </c>
      <c r="AK49" s="539">
        <f>SUMIF(AB35:AB44,3,AK35:AK44)</f>
        <v>0</v>
      </c>
      <c r="AL49" s="540">
        <f t="shared" si="11"/>
        <v>0</v>
      </c>
    </row>
    <row r="50" spans="1:38" s="297" customFormat="1" ht="15" customHeight="1">
      <c r="J50" s="636"/>
      <c r="K50" s="721"/>
      <c r="L50" s="722"/>
      <c r="W50" s="636"/>
      <c r="X50" s="721"/>
      <c r="Y50" s="722"/>
      <c r="AJ50" s="636"/>
      <c r="AK50" s="721"/>
      <c r="AL50" s="722"/>
    </row>
    <row r="51" spans="1:38" s="297" customFormat="1" ht="15" customHeight="1">
      <c r="J51" s="491"/>
      <c r="K51" s="527" t="s">
        <v>2132</v>
      </c>
      <c r="L51" s="302"/>
      <c r="W51" s="491"/>
      <c r="X51" s="527" t="s">
        <v>2132</v>
      </c>
      <c r="Y51" s="302"/>
      <c r="AJ51" s="491"/>
      <c r="AK51" s="527" t="s">
        <v>2132</v>
      </c>
      <c r="AL51" s="302"/>
    </row>
    <row r="52" spans="1:38" s="297" customFormat="1" ht="15" customHeight="1">
      <c r="A52" s="302"/>
      <c r="B52" s="723"/>
      <c r="C52" s="724"/>
      <c r="D52" s="724"/>
      <c r="E52" s="724"/>
      <c r="F52" s="724"/>
      <c r="G52" s="724"/>
      <c r="H52" s="724"/>
      <c r="I52" s="724"/>
      <c r="J52" s="725" t="s">
        <v>2256</v>
      </c>
      <c r="K52" s="540">
        <f>M45</f>
        <v>40.32</v>
      </c>
      <c r="L52" s="302"/>
      <c r="O52" s="723"/>
      <c r="P52" s="724"/>
      <c r="Q52" s="724"/>
      <c r="R52" s="724"/>
      <c r="S52" s="724"/>
      <c r="T52" s="724"/>
      <c r="U52" s="724"/>
      <c r="V52" s="724"/>
      <c r="W52" s="725" t="s">
        <v>2133</v>
      </c>
      <c r="X52" s="540">
        <f>Z45</f>
        <v>67.622740000000007</v>
      </c>
      <c r="Y52" s="302"/>
      <c r="AB52" s="723"/>
      <c r="AC52" s="724"/>
      <c r="AD52" s="724"/>
      <c r="AE52" s="724"/>
      <c r="AF52" s="724"/>
      <c r="AG52" s="724"/>
      <c r="AH52" s="724"/>
      <c r="AI52" s="724"/>
      <c r="AJ52" s="725" t="s">
        <v>2133</v>
      </c>
      <c r="AK52" s="540">
        <f>AM45</f>
        <v>0.80640000000000001</v>
      </c>
      <c r="AL52" s="302"/>
    </row>
    <row r="53" spans="1:38" s="297" customFormat="1" ht="15" customHeight="1"/>
    <row r="54" spans="1:38" s="297" customFormat="1" ht="15" customHeight="1">
      <c r="A54" s="302"/>
    </row>
    <row r="55" spans="1:38" s="297" customFormat="1" ht="15" customHeight="1">
      <c r="A55" s="302"/>
    </row>
    <row r="56" spans="1:38" s="297" customFormat="1" ht="15" customHeight="1">
      <c r="A56" s="302"/>
    </row>
    <row r="57" spans="1:38" s="297" customFormat="1" ht="15" customHeight="1">
      <c r="A57" s="302"/>
    </row>
    <row r="58" spans="1:38" s="297" customFormat="1" ht="15" customHeight="1">
      <c r="A58" s="302"/>
    </row>
    <row r="59" spans="1:38" s="297" customFormat="1" ht="15" customHeight="1">
      <c r="A59" s="302"/>
    </row>
    <row r="60" spans="1:38" s="297" customFormat="1" ht="15" customHeight="1">
      <c r="A60" s="302"/>
    </row>
    <row r="61" spans="1:38" s="297" customFormat="1" ht="15" customHeight="1">
      <c r="A61" s="302"/>
    </row>
    <row r="62" spans="1:38" ht="15" customHeight="1">
      <c r="E62" s="302"/>
      <c r="F62" s="302"/>
      <c r="G62" s="302"/>
      <c r="H62" s="302"/>
      <c r="I62" s="302"/>
      <c r="V62" s="302"/>
      <c r="AI62" s="302"/>
    </row>
    <row r="63" spans="1:38" ht="15" customHeight="1">
      <c r="E63" s="302"/>
      <c r="F63" s="302"/>
      <c r="G63" s="302"/>
      <c r="H63" s="302"/>
      <c r="I63" s="302"/>
      <c r="V63" s="302"/>
      <c r="AI63" s="302"/>
    </row>
    <row r="64" spans="1:38" ht="15" customHeight="1">
      <c r="E64" s="302"/>
      <c r="F64" s="302"/>
      <c r="G64" s="302"/>
      <c r="H64" s="302"/>
      <c r="I64" s="302"/>
      <c r="V64" s="302"/>
      <c r="AI64" s="302"/>
    </row>
    <row r="65" spans="1:35" ht="15" customHeight="1">
      <c r="E65" s="302"/>
      <c r="F65" s="302"/>
      <c r="G65" s="302"/>
      <c r="H65" s="302"/>
      <c r="I65" s="302"/>
      <c r="V65" s="302"/>
      <c r="AI65" s="302"/>
    </row>
    <row r="66" spans="1:35" ht="15" customHeight="1">
      <c r="E66" s="302"/>
      <c r="F66" s="302"/>
      <c r="G66" s="302"/>
      <c r="H66" s="302"/>
      <c r="I66" s="302"/>
      <c r="V66" s="302"/>
      <c r="AI66" s="302"/>
    </row>
    <row r="67" spans="1:35" ht="15" customHeight="1">
      <c r="E67" s="302"/>
      <c r="F67" s="302"/>
      <c r="G67" s="302"/>
      <c r="H67" s="302"/>
      <c r="I67" s="302"/>
      <c r="V67" s="302"/>
      <c r="AI67" s="302"/>
    </row>
    <row r="68" spans="1:35" ht="15" customHeight="1">
      <c r="E68" s="302"/>
      <c r="F68" s="302"/>
      <c r="G68" s="302"/>
      <c r="H68" s="302"/>
      <c r="I68" s="302"/>
      <c r="V68" s="302"/>
      <c r="AI68" s="302"/>
    </row>
    <row r="69" spans="1:35" ht="15" customHeight="1">
      <c r="E69" s="302"/>
      <c r="F69" s="302"/>
      <c r="G69" s="302"/>
      <c r="H69" s="302"/>
      <c r="I69" s="302"/>
      <c r="V69" s="302"/>
      <c r="AI69" s="302"/>
    </row>
    <row r="70" spans="1:35" ht="15" customHeight="1">
      <c r="A70" s="297"/>
      <c r="E70" s="302"/>
      <c r="F70" s="302"/>
      <c r="G70" s="302"/>
      <c r="H70" s="302"/>
      <c r="I70" s="302"/>
      <c r="V70" s="302"/>
      <c r="AI70" s="302"/>
    </row>
    <row r="71" spans="1:35" ht="15" customHeight="1">
      <c r="E71" s="302"/>
      <c r="F71" s="302"/>
      <c r="G71" s="302"/>
      <c r="H71" s="302"/>
      <c r="I71" s="302"/>
      <c r="V71" s="302"/>
      <c r="AI71" s="302"/>
    </row>
    <row r="72" spans="1:35" ht="15" customHeight="1">
      <c r="E72" s="302"/>
      <c r="F72" s="302"/>
      <c r="G72" s="302"/>
      <c r="H72" s="302"/>
      <c r="I72" s="302"/>
      <c r="V72" s="302"/>
      <c r="AI72" s="302"/>
    </row>
    <row r="73" spans="1:35" ht="15" customHeight="1">
      <c r="E73" s="302"/>
      <c r="F73" s="302"/>
      <c r="G73" s="302"/>
      <c r="H73" s="302"/>
      <c r="I73" s="302"/>
      <c r="V73" s="302"/>
      <c r="AI73" s="302"/>
    </row>
    <row r="74" spans="1:35" ht="15" customHeight="1">
      <c r="E74" s="302"/>
      <c r="F74" s="302"/>
      <c r="G74" s="302"/>
      <c r="H74" s="302"/>
      <c r="I74" s="302"/>
      <c r="V74" s="302"/>
      <c r="AI74" s="302"/>
    </row>
    <row r="75" spans="1:35" ht="15" customHeight="1">
      <c r="E75" s="302"/>
      <c r="F75" s="302"/>
      <c r="G75" s="302"/>
      <c r="H75" s="302"/>
      <c r="I75" s="302"/>
      <c r="V75" s="302"/>
      <c r="AI75" s="302"/>
    </row>
    <row r="76" spans="1:35" ht="15" customHeight="1">
      <c r="E76" s="302"/>
      <c r="F76" s="302"/>
      <c r="G76" s="302"/>
      <c r="H76" s="302"/>
      <c r="I76" s="302"/>
      <c r="V76" s="302"/>
      <c r="AI76" s="302"/>
    </row>
    <row r="77" spans="1:35" ht="15" customHeight="1">
      <c r="E77" s="302"/>
      <c r="F77" s="302"/>
      <c r="G77" s="302"/>
      <c r="H77" s="302"/>
      <c r="I77" s="302"/>
      <c r="V77" s="302"/>
      <c r="AI77" s="302"/>
    </row>
    <row r="78" spans="1:35" ht="15" customHeight="1">
      <c r="E78" s="302"/>
      <c r="F78" s="302"/>
      <c r="G78" s="302"/>
      <c r="H78" s="302"/>
      <c r="I78" s="302"/>
      <c r="V78" s="302"/>
      <c r="AI78" s="302"/>
    </row>
    <row r="79" spans="1:35" ht="15" customHeight="1">
      <c r="E79" s="302"/>
      <c r="F79" s="302"/>
      <c r="G79" s="302"/>
      <c r="H79" s="302"/>
      <c r="I79" s="302"/>
      <c r="V79" s="302"/>
      <c r="AI79" s="302"/>
    </row>
    <row r="80" spans="1:35" ht="15" customHeight="1">
      <c r="E80" s="302"/>
      <c r="F80" s="302"/>
      <c r="G80" s="302"/>
      <c r="H80" s="302"/>
      <c r="I80" s="302"/>
      <c r="V80" s="302"/>
      <c r="AI80" s="302"/>
    </row>
    <row r="81" s="302" customFormat="1" ht="15" customHeight="1"/>
    <row r="82" s="302" customFormat="1" ht="15" customHeight="1"/>
    <row r="83" s="302" customFormat="1" ht="15" customHeight="1"/>
    <row r="84" s="302" customFormat="1" ht="15" customHeight="1"/>
    <row r="85" s="302" customFormat="1" ht="15" customHeight="1"/>
    <row r="86" s="302" customFormat="1" ht="15" customHeight="1"/>
    <row r="87" s="302" customFormat="1" ht="15" customHeight="1"/>
    <row r="88" s="302" customFormat="1" ht="15" customHeight="1"/>
    <row r="89" s="302" customFormat="1" ht="15" customHeight="1"/>
    <row r="90" s="302" customFormat="1" ht="15" customHeight="1"/>
    <row r="91" s="302" customFormat="1" ht="15" customHeight="1"/>
    <row r="92" s="302" customFormat="1" ht="15" customHeight="1"/>
    <row r="93" s="302" customFormat="1" ht="15" customHeight="1"/>
    <row r="94" s="302" customFormat="1" ht="15" customHeight="1"/>
    <row r="95" s="302" customFormat="1" ht="15" customHeight="1"/>
    <row r="96" s="302" customFormat="1" ht="15" customHeight="1"/>
    <row r="97" spans="5:39" ht="15" customHeight="1">
      <c r="E97" s="302"/>
      <c r="F97" s="302"/>
      <c r="G97" s="302"/>
      <c r="H97" s="302"/>
      <c r="I97" s="302"/>
      <c r="V97" s="302"/>
      <c r="AI97" s="302"/>
    </row>
    <row r="98" spans="5:39" ht="15" customHeight="1">
      <c r="E98" s="302"/>
      <c r="F98" s="302"/>
      <c r="G98" s="302"/>
      <c r="H98" s="302"/>
      <c r="I98" s="302"/>
      <c r="V98" s="302"/>
      <c r="AI98" s="302"/>
    </row>
    <row r="99" spans="5:39" ht="15" customHeight="1">
      <c r="E99" s="302"/>
      <c r="F99" s="302"/>
      <c r="G99" s="302"/>
      <c r="H99" s="302"/>
      <c r="I99" s="302"/>
      <c r="V99" s="302"/>
      <c r="AI99" s="302"/>
    </row>
    <row r="100" spans="5:39" ht="15" customHeight="1">
      <c r="G100" s="307"/>
      <c r="H100" s="307"/>
      <c r="I100" s="307"/>
      <c r="K100" s="297"/>
      <c r="L100" s="297"/>
      <c r="M100" s="297"/>
      <c r="N100" s="297"/>
      <c r="O100" s="297"/>
      <c r="P100" s="297"/>
      <c r="Q100" s="297"/>
      <c r="R100" s="297"/>
      <c r="S100" s="297"/>
      <c r="T100" s="297"/>
      <c r="U100" s="297"/>
      <c r="V100" s="307"/>
      <c r="Z100" s="297"/>
      <c r="AI100" s="307"/>
      <c r="AM100" s="297"/>
    </row>
    <row r="101" spans="5:39" ht="15" customHeight="1">
      <c r="G101" s="307"/>
      <c r="H101" s="307"/>
      <c r="I101" s="307"/>
      <c r="K101" s="297"/>
      <c r="L101" s="297"/>
      <c r="M101" s="297"/>
      <c r="N101" s="297"/>
      <c r="O101" s="297"/>
      <c r="P101" s="297"/>
      <c r="Q101" s="297"/>
      <c r="R101" s="297"/>
      <c r="S101" s="297"/>
      <c r="T101" s="297"/>
      <c r="U101" s="297"/>
      <c r="V101" s="307"/>
      <c r="Z101" s="297"/>
      <c r="AI101" s="307"/>
      <c r="AM101" s="297"/>
    </row>
  </sheetData>
  <mergeCells count="60">
    <mergeCell ref="C38:D38"/>
    <mergeCell ref="M31:M33"/>
    <mergeCell ref="O31:O34"/>
    <mergeCell ref="R31:R34"/>
    <mergeCell ref="V31:V34"/>
    <mergeCell ref="P31:Q34"/>
    <mergeCell ref="K31:L33"/>
    <mergeCell ref="E31:E34"/>
    <mergeCell ref="C35:D35"/>
    <mergeCell ref="C36:D36"/>
    <mergeCell ref="C37:D37"/>
    <mergeCell ref="P38:Q38"/>
    <mergeCell ref="S31:S33"/>
    <mergeCell ref="P36:Q36"/>
    <mergeCell ref="B31:B34"/>
    <mergeCell ref="G31:G34"/>
    <mergeCell ref="H31:H34"/>
    <mergeCell ref="I31:I34"/>
    <mergeCell ref="J31:J34"/>
    <mergeCell ref="C31:D34"/>
    <mergeCell ref="F31:F33"/>
    <mergeCell ref="C44:D44"/>
    <mergeCell ref="P44:Q44"/>
    <mergeCell ref="C39:D39"/>
    <mergeCell ref="C40:D40"/>
    <mergeCell ref="C41:D41"/>
    <mergeCell ref="C42:D42"/>
    <mergeCell ref="P39:Q39"/>
    <mergeCell ref="P40:Q40"/>
    <mergeCell ref="P41:Q41"/>
    <mergeCell ref="P42:Q42"/>
    <mergeCell ref="P43:Q43"/>
    <mergeCell ref="C43:D43"/>
    <mergeCell ref="W31:W34"/>
    <mergeCell ref="AC44:AD44"/>
    <mergeCell ref="AC35:AD35"/>
    <mergeCell ref="AC36:AD36"/>
    <mergeCell ref="AC37:AD37"/>
    <mergeCell ref="AC38:AD38"/>
    <mergeCell ref="AC39:AD39"/>
    <mergeCell ref="AC42:AD42"/>
    <mergeCell ref="AC43:AD43"/>
    <mergeCell ref="AC40:AD40"/>
    <mergeCell ref="AC41:AD41"/>
    <mergeCell ref="AM31:AM33"/>
    <mergeCell ref="AK31:AL33"/>
    <mergeCell ref="AI31:AI34"/>
    <mergeCell ref="AJ31:AJ34"/>
    <mergeCell ref="P37:Q37"/>
    <mergeCell ref="AB31:AB34"/>
    <mergeCell ref="AE31:AE34"/>
    <mergeCell ref="AG31:AG34"/>
    <mergeCell ref="AH31:AH34"/>
    <mergeCell ref="AC31:AD34"/>
    <mergeCell ref="AF31:AF33"/>
    <mergeCell ref="Z31:Z33"/>
    <mergeCell ref="X31:Y33"/>
    <mergeCell ref="T31:T34"/>
    <mergeCell ref="U31:U34"/>
    <mergeCell ref="P35:Q35"/>
  </mergeCells>
  <phoneticPr fontId="35" type="noConversion"/>
  <conditionalFormatting sqref="J35:J44">
    <cfRule type="expression" dxfId="107" priority="1">
      <formula>$F35="Ei"</formula>
    </cfRule>
  </conditionalFormatting>
  <conditionalFormatting sqref="W35:W44">
    <cfRule type="expression" dxfId="106" priority="2">
      <formula>$S35="Ei"</formula>
    </cfRule>
  </conditionalFormatting>
  <conditionalFormatting sqref="AJ35:AJ44">
    <cfRule type="expression" dxfId="105" priority="4">
      <formula>$AF35="Ei"</formula>
    </cfRule>
  </conditionalFormatting>
  <hyperlinks>
    <hyperlink ref="A2" location="Sisukord!A1" display="Sisukord"/>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'HT-Energia (M1, M2)'!$B$5:$B$43</xm:f>
          </x14:formula1>
          <xm:sqref>Q36:Q44 AD36:AD44 AC35:AC44 P35:P44 C35:D44</xm:sqref>
        </x14:dataValidation>
        <x14:dataValidation type="list" allowBlank="1" showInputMessage="1" showErrorMessage="1">
          <x14:formula1>
            <xm:f>Viited!$B$65:$B$66</xm:f>
          </x14:formula1>
          <xm:sqref>F35:F44 S35:S44 AF35:AF44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7" tint="0.59999389629810485"/>
  </sheetPr>
  <dimension ref="A1:AJ102"/>
  <sheetViews>
    <sheetView showGridLines="0" zoomScale="90" zoomScaleNormal="90" workbookViewId="0">
      <pane xSplit="1" ySplit="1" topLeftCell="B62" activePane="bottomRight" state="frozen"/>
      <selection activeCell="B5" sqref="B5"/>
      <selection pane="topRight" activeCell="B5" sqref="B5"/>
      <selection pane="bottomLeft" activeCell="B5" sqref="B5"/>
      <selection pane="bottomRight" activeCell="J80" sqref="J80"/>
    </sheetView>
  </sheetViews>
  <sheetFormatPr defaultColWidth="8.54296875" defaultRowHeight="15" customHeight="1"/>
  <cols>
    <col min="1" max="1" width="7.1796875" style="302" customWidth="1"/>
    <col min="2" max="2" width="9.7265625" style="302" customWidth="1"/>
    <col min="3" max="3" width="9.54296875" style="302" customWidth="1"/>
    <col min="4" max="4" width="29.453125" style="302" customWidth="1"/>
    <col min="5" max="5" width="16.7265625" style="297" customWidth="1"/>
    <col min="6" max="6" width="16.7265625" style="302" customWidth="1"/>
    <col min="7" max="8" width="15.54296875" style="302" customWidth="1"/>
    <col min="9" max="9" width="17.54296875" style="302" customWidth="1"/>
    <col min="10" max="10" width="50.54296875" style="302" customWidth="1"/>
    <col min="11" max="12" width="14" style="302" customWidth="1"/>
    <col min="13" max="13" width="8.54296875" style="297" customWidth="1"/>
    <col min="14" max="14" width="9.7265625" style="302" customWidth="1"/>
    <col min="15" max="15" width="9.54296875" style="302" customWidth="1"/>
    <col min="16" max="16" width="29.453125" style="302" customWidth="1"/>
    <col min="17" max="18" width="16.7265625" style="302" customWidth="1"/>
    <col min="19" max="20" width="15.54296875" style="302" customWidth="1"/>
    <col min="21" max="21" width="17.54296875" style="302" customWidth="1"/>
    <col min="22" max="22" width="50.54296875" style="302" customWidth="1"/>
    <col min="23" max="24" width="14" style="302" customWidth="1"/>
    <col min="25" max="25" width="8.54296875" style="302"/>
    <col min="26" max="26" width="9.7265625" style="302" customWidth="1"/>
    <col min="27" max="27" width="9.54296875" style="302" customWidth="1"/>
    <col min="28" max="28" width="29.453125" style="302" customWidth="1"/>
    <col min="29" max="30" width="16.7265625" style="302" customWidth="1"/>
    <col min="31" max="32" width="15.54296875" style="302" customWidth="1"/>
    <col min="33" max="33" width="17.54296875" style="302" customWidth="1"/>
    <col min="34" max="34" width="50.54296875" style="302" customWidth="1"/>
    <col min="35" max="36" width="14" style="302" customWidth="1"/>
    <col min="37" max="16384" width="8.54296875" style="302"/>
  </cols>
  <sheetData>
    <row r="1" spans="1:13" s="396" customFormat="1" ht="21" customHeight="1">
      <c r="A1" s="293"/>
      <c r="B1" s="291" t="s">
        <v>2232</v>
      </c>
      <c r="M1" s="297"/>
    </row>
    <row r="2" spans="1:13" s="297" customFormat="1" ht="15" customHeight="1">
      <c r="A2" s="295" t="s">
        <v>1</v>
      </c>
      <c r="B2" s="516" t="s">
        <v>2224</v>
      </c>
      <c r="C2" s="517"/>
      <c r="D2" s="517"/>
      <c r="E2" s="517"/>
      <c r="F2" s="517"/>
      <c r="G2" s="517"/>
      <c r="H2" s="517"/>
      <c r="I2" s="517"/>
      <c r="J2" s="517"/>
      <c r="K2" s="517"/>
      <c r="L2" s="518"/>
    </row>
    <row r="3" spans="1:13" s="297" customFormat="1" ht="15" customHeight="1">
      <c r="B3" s="519" t="s">
        <v>1712</v>
      </c>
      <c r="L3" s="520"/>
    </row>
    <row r="4" spans="1:13" s="297" customFormat="1" ht="15" customHeight="1">
      <c r="B4" s="519" t="s">
        <v>2093</v>
      </c>
      <c r="L4" s="520"/>
    </row>
    <row r="5" spans="1:13" s="297" customFormat="1" ht="15" customHeight="1">
      <c r="B5" s="519" t="s">
        <v>2314</v>
      </c>
      <c r="L5" s="520"/>
    </row>
    <row r="6" spans="1:13" s="297" customFormat="1" ht="15" customHeight="1">
      <c r="B6" s="519" t="s">
        <v>2317</v>
      </c>
      <c r="L6" s="520"/>
    </row>
    <row r="7" spans="1:13" s="297" customFormat="1" ht="15" customHeight="1">
      <c r="B7" s="519" t="s">
        <v>2333</v>
      </c>
      <c r="L7" s="520"/>
    </row>
    <row r="8" spans="1:13" s="297" customFormat="1" ht="15" customHeight="1">
      <c r="B8" s="519"/>
      <c r="L8" s="520"/>
    </row>
    <row r="9" spans="1:13" s="297" customFormat="1" ht="15" customHeight="1">
      <c r="B9" s="554" t="s">
        <v>66</v>
      </c>
      <c r="L9" s="520"/>
    </row>
    <row r="10" spans="1:13" s="396" customFormat="1" ht="15" customHeight="1">
      <c r="A10" s="297"/>
      <c r="B10" s="519" t="s">
        <v>2316</v>
      </c>
      <c r="C10" s="394"/>
      <c r="D10" s="394"/>
      <c r="E10" s="394"/>
      <c r="F10" s="394"/>
      <c r="G10" s="394"/>
      <c r="H10" s="394"/>
      <c r="I10" s="394"/>
      <c r="J10" s="394"/>
      <c r="L10" s="687"/>
      <c r="M10" s="297"/>
    </row>
    <row r="11" spans="1:13" s="396" customFormat="1" ht="15" customHeight="1">
      <c r="A11" s="297"/>
      <c r="B11" s="554" t="s">
        <v>1736</v>
      </c>
      <c r="C11" s="394"/>
      <c r="D11" s="394"/>
      <c r="E11" s="394"/>
      <c r="F11" s="394"/>
      <c r="G11" s="394"/>
      <c r="H11" s="394"/>
      <c r="I11" s="394"/>
      <c r="J11" s="394"/>
      <c r="L11" s="687"/>
      <c r="M11" s="297"/>
    </row>
    <row r="12" spans="1:13" s="396" customFormat="1" ht="15" customHeight="1">
      <c r="A12" s="297"/>
      <c r="B12" s="519" t="s">
        <v>1737</v>
      </c>
      <c r="C12" s="394"/>
      <c r="D12" s="394"/>
      <c r="E12" s="394"/>
      <c r="F12" s="394"/>
      <c r="G12" s="394"/>
      <c r="H12" s="394"/>
      <c r="I12" s="394"/>
      <c r="J12" s="394"/>
      <c r="L12" s="687"/>
      <c r="M12" s="297"/>
    </row>
    <row r="13" spans="1:13" s="396" customFormat="1" ht="15" customHeight="1">
      <c r="A13" s="297"/>
      <c r="B13" s="519" t="s">
        <v>1652</v>
      </c>
      <c r="C13" s="394"/>
      <c r="D13" s="394"/>
      <c r="E13" s="394"/>
      <c r="F13" s="394"/>
      <c r="G13" s="394"/>
      <c r="H13" s="394"/>
      <c r="I13" s="394"/>
      <c r="J13" s="394"/>
      <c r="L13" s="687"/>
      <c r="M13" s="297"/>
    </row>
    <row r="14" spans="1:13" s="396" customFormat="1" ht="15" customHeight="1">
      <c r="A14" s="302"/>
      <c r="B14" s="519" t="s">
        <v>2225</v>
      </c>
      <c r="C14" s="394"/>
      <c r="D14" s="394"/>
      <c r="E14" s="394"/>
      <c r="F14" s="394"/>
      <c r="G14" s="394"/>
      <c r="H14" s="394"/>
      <c r="I14" s="394"/>
      <c r="J14" s="394"/>
      <c r="L14" s="687"/>
      <c r="M14" s="297"/>
    </row>
    <row r="15" spans="1:13" s="396" customFormat="1" ht="15" customHeight="1">
      <c r="A15" s="302"/>
      <c r="B15" s="688" t="s">
        <v>1735</v>
      </c>
      <c r="C15" s="394"/>
      <c r="D15" s="394"/>
      <c r="E15" s="394"/>
      <c r="F15" s="394"/>
      <c r="G15" s="394"/>
      <c r="H15" s="394"/>
      <c r="I15" s="394"/>
      <c r="J15" s="394"/>
      <c r="L15" s="687"/>
      <c r="M15" s="297"/>
    </row>
    <row r="16" spans="1:13" s="396" customFormat="1" ht="15" customHeight="1">
      <c r="A16" s="302"/>
      <c r="B16" s="673" t="s">
        <v>2226</v>
      </c>
      <c r="C16" s="394"/>
      <c r="D16" s="394"/>
      <c r="E16" s="394"/>
      <c r="F16" s="394"/>
      <c r="G16" s="394"/>
      <c r="H16" s="394"/>
      <c r="I16" s="394"/>
      <c r="J16" s="394"/>
      <c r="L16" s="687"/>
      <c r="M16" s="297"/>
    </row>
    <row r="17" spans="1:13" s="396" customFormat="1" ht="15" customHeight="1">
      <c r="A17" s="302"/>
      <c r="B17" s="519" t="s">
        <v>2227</v>
      </c>
      <c r="C17" s="394"/>
      <c r="D17" s="394"/>
      <c r="E17" s="394"/>
      <c r="F17" s="394"/>
      <c r="G17" s="394"/>
      <c r="H17" s="394"/>
      <c r="I17" s="394"/>
      <c r="J17" s="394"/>
      <c r="L17" s="687"/>
      <c r="M17" s="297"/>
    </row>
    <row r="18" spans="1:13" s="396" customFormat="1" ht="15" customHeight="1">
      <c r="A18" s="302"/>
      <c r="B18" s="519" t="s">
        <v>1733</v>
      </c>
      <c r="C18" s="394"/>
      <c r="D18" s="394"/>
      <c r="E18" s="394"/>
      <c r="F18" s="394"/>
      <c r="G18" s="394"/>
      <c r="H18" s="394"/>
      <c r="I18" s="394"/>
      <c r="J18" s="394"/>
      <c r="L18" s="687"/>
      <c r="M18" s="297"/>
    </row>
    <row r="19" spans="1:13" s="396" customFormat="1" ht="15" customHeight="1">
      <c r="A19" s="302"/>
      <c r="B19" s="828" t="s">
        <v>1734</v>
      </c>
      <c r="C19" s="830"/>
      <c r="D19" s="830"/>
      <c r="E19" s="830"/>
      <c r="F19" s="830"/>
      <c r="G19" s="830"/>
      <c r="H19" s="830"/>
      <c r="I19" s="830"/>
      <c r="J19" s="830"/>
      <c r="K19" s="831"/>
      <c r="L19" s="832"/>
      <c r="M19" s="297"/>
    </row>
    <row r="20" spans="1:13" s="396" customFormat="1" ht="15" customHeight="1">
      <c r="A20" s="302"/>
      <c r="B20" s="829" t="s">
        <v>2228</v>
      </c>
      <c r="C20" s="830"/>
      <c r="D20" s="830"/>
      <c r="E20" s="830"/>
      <c r="F20" s="830"/>
      <c r="G20" s="830"/>
      <c r="H20" s="830"/>
      <c r="I20" s="830"/>
      <c r="J20" s="830"/>
      <c r="K20" s="831"/>
      <c r="L20" s="832"/>
      <c r="M20" s="297"/>
    </row>
    <row r="21" spans="1:13" s="396" customFormat="1" ht="15" customHeight="1">
      <c r="A21" s="302"/>
      <c r="B21" s="829" t="s">
        <v>2277</v>
      </c>
      <c r="C21" s="830"/>
      <c r="D21" s="830"/>
      <c r="E21" s="830"/>
      <c r="F21" s="830"/>
      <c r="G21" s="830"/>
      <c r="H21" s="830"/>
      <c r="I21" s="830"/>
      <c r="J21" s="830"/>
      <c r="K21" s="831"/>
      <c r="L21" s="832"/>
      <c r="M21" s="297"/>
    </row>
    <row r="22" spans="1:13" s="396" customFormat="1" ht="15" customHeight="1">
      <c r="A22" s="302"/>
      <c r="B22" s="829"/>
      <c r="C22" s="830"/>
      <c r="D22" s="830"/>
      <c r="E22" s="830"/>
      <c r="F22" s="830"/>
      <c r="G22" s="830"/>
      <c r="H22" s="830"/>
      <c r="I22" s="830"/>
      <c r="J22" s="830"/>
      <c r="K22" s="831"/>
      <c r="L22" s="832"/>
      <c r="M22" s="297"/>
    </row>
    <row r="23" spans="1:13" s="396" customFormat="1" ht="15" customHeight="1">
      <c r="A23" s="302"/>
      <c r="B23" s="829" t="s">
        <v>2289</v>
      </c>
      <c r="C23" s="830"/>
      <c r="D23" s="830"/>
      <c r="E23" s="830"/>
      <c r="F23" s="830"/>
      <c r="G23" s="830"/>
      <c r="H23" s="830"/>
      <c r="I23" s="830"/>
      <c r="J23" s="830"/>
      <c r="K23" s="831"/>
      <c r="L23" s="832"/>
      <c r="M23" s="297"/>
    </row>
    <row r="24" spans="1:13" s="396" customFormat="1" ht="15" customHeight="1">
      <c r="A24" s="302"/>
      <c r="B24" s="829" t="s">
        <v>2288</v>
      </c>
      <c r="C24" s="830"/>
      <c r="D24" s="830"/>
      <c r="E24" s="830"/>
      <c r="F24" s="830"/>
      <c r="G24" s="830"/>
      <c r="H24" s="830"/>
      <c r="I24" s="830"/>
      <c r="J24" s="830"/>
      <c r="K24" s="831"/>
      <c r="L24" s="832"/>
      <c r="M24" s="297"/>
    </row>
    <row r="25" spans="1:13" s="396" customFormat="1" ht="15" customHeight="1">
      <c r="A25" s="302"/>
      <c r="B25" s="519"/>
      <c r="C25" s="394"/>
      <c r="D25" s="394"/>
      <c r="E25" s="394"/>
      <c r="F25" s="394"/>
      <c r="G25" s="394"/>
      <c r="H25" s="394"/>
      <c r="I25" s="394"/>
      <c r="J25" s="394"/>
      <c r="L25" s="687"/>
      <c r="M25" s="297"/>
    </row>
    <row r="26" spans="1:13" s="396" customFormat="1" ht="15" customHeight="1">
      <c r="A26" s="302"/>
      <c r="B26" s="519" t="s">
        <v>2229</v>
      </c>
      <c r="C26" s="394"/>
      <c r="D26" s="394"/>
      <c r="E26" s="394"/>
      <c r="F26" s="394"/>
      <c r="G26" s="394"/>
      <c r="H26" s="394"/>
      <c r="I26" s="394"/>
      <c r="J26" s="394"/>
      <c r="L26" s="687"/>
      <c r="M26" s="297"/>
    </row>
    <row r="27" spans="1:13" s="396" customFormat="1" ht="15" customHeight="1">
      <c r="A27" s="302"/>
      <c r="B27" s="519"/>
      <c r="C27" s="394"/>
      <c r="D27" s="394"/>
      <c r="E27" s="394"/>
      <c r="F27" s="394"/>
      <c r="G27" s="394"/>
      <c r="H27" s="394"/>
      <c r="I27" s="394"/>
      <c r="J27" s="394"/>
      <c r="L27" s="687"/>
      <c r="M27" s="297"/>
    </row>
    <row r="28" spans="1:13" ht="15" customHeight="1">
      <c r="B28" s="519" t="s">
        <v>1738</v>
      </c>
      <c r="C28" s="659"/>
      <c r="D28" s="659"/>
      <c r="E28" s="302"/>
      <c r="L28" s="689"/>
    </row>
    <row r="29" spans="1:13" ht="15" customHeight="1">
      <c r="B29" s="519" t="s">
        <v>2122</v>
      </c>
      <c r="C29" s="659"/>
      <c r="D29" s="659"/>
      <c r="E29" s="302"/>
      <c r="L29" s="689"/>
    </row>
    <row r="30" spans="1:13" ht="15" customHeight="1">
      <c r="B30" s="519" t="s">
        <v>2154</v>
      </c>
      <c r="C30" s="659"/>
      <c r="D30" s="659"/>
      <c r="E30" s="302"/>
      <c r="L30" s="689"/>
    </row>
    <row r="31" spans="1:13" ht="15" customHeight="1">
      <c r="B31" s="519"/>
      <c r="C31" s="659"/>
      <c r="D31" s="659"/>
      <c r="E31" s="302"/>
      <c r="L31" s="689"/>
    </row>
    <row r="32" spans="1:13" ht="15" customHeight="1">
      <c r="B32" s="519" t="s">
        <v>2123</v>
      </c>
      <c r="C32" s="659"/>
      <c r="D32" s="659"/>
      <c r="E32" s="302"/>
      <c r="L32" s="689"/>
    </row>
    <row r="33" spans="1:36" ht="15" customHeight="1">
      <c r="B33" s="519" t="s">
        <v>1744</v>
      </c>
      <c r="C33" s="659"/>
      <c r="D33" s="659"/>
      <c r="E33" s="302"/>
      <c r="L33" s="689"/>
    </row>
    <row r="34" spans="1:36" ht="15" customHeight="1">
      <c r="B34" s="519"/>
      <c r="C34" s="659"/>
      <c r="D34" s="659"/>
      <c r="E34" s="302"/>
      <c r="L34" s="689"/>
    </row>
    <row r="35" spans="1:36" ht="15" customHeight="1">
      <c r="B35" s="523" t="s">
        <v>1746</v>
      </c>
      <c r="C35" s="660"/>
      <c r="D35" s="660"/>
      <c r="E35" s="675"/>
      <c r="F35" s="675"/>
      <c r="G35" s="675"/>
      <c r="H35" s="675"/>
      <c r="I35" s="675"/>
      <c r="J35" s="675"/>
      <c r="K35" s="675"/>
      <c r="L35" s="690"/>
    </row>
    <row r="36" spans="1:36" ht="15" customHeight="1" thickBot="1">
      <c r="B36" s="297"/>
      <c r="C36" s="659"/>
      <c r="D36" s="659"/>
      <c r="E36" s="302"/>
    </row>
    <row r="37" spans="1:36" ht="15" customHeight="1" thickTop="1" thickBot="1">
      <c r="B37" s="502" t="s">
        <v>55</v>
      </c>
      <c r="C37" s="526">
        <f>Organisatsioon!B23</f>
        <v>2021</v>
      </c>
      <c r="D37" s="491"/>
      <c r="E37" s="302"/>
      <c r="L37" s="297"/>
      <c r="N37" s="502" t="s">
        <v>55</v>
      </c>
      <c r="O37" s="526">
        <f>Organisatsioon!B24</f>
        <v>2022</v>
      </c>
      <c r="P37" s="491"/>
      <c r="X37" s="297"/>
      <c r="Z37" s="502" t="s">
        <v>55</v>
      </c>
      <c r="AA37" s="526">
        <f>Organisatsioon!B25</f>
        <v>2023</v>
      </c>
      <c r="AB37" s="491"/>
      <c r="AJ37" s="297"/>
    </row>
    <row r="38" spans="1:36" ht="15" customHeight="1" thickTop="1">
      <c r="B38" s="542"/>
      <c r="C38" s="297"/>
      <c r="D38" s="297"/>
      <c r="E38" s="302"/>
      <c r="L38" s="297"/>
      <c r="N38" s="542"/>
      <c r="O38" s="297"/>
      <c r="P38" s="297"/>
      <c r="X38" s="297"/>
      <c r="Z38" s="542"/>
      <c r="AA38" s="297"/>
      <c r="AB38" s="297"/>
      <c r="AJ38" s="297"/>
    </row>
    <row r="39" spans="1:36" ht="15" customHeight="1">
      <c r="B39" s="320" t="s">
        <v>1624</v>
      </c>
      <c r="C39" s="321"/>
      <c r="D39" s="321"/>
      <c r="E39" s="321"/>
      <c r="F39" s="321"/>
      <c r="G39" s="321"/>
      <c r="H39" s="321"/>
      <c r="I39" s="321"/>
      <c r="J39" s="321"/>
      <c r="K39" s="321"/>
      <c r="L39" s="322"/>
      <c r="N39" s="320" t="s">
        <v>1624</v>
      </c>
      <c r="O39" s="321"/>
      <c r="P39" s="321"/>
      <c r="Q39" s="321"/>
      <c r="R39" s="321"/>
      <c r="S39" s="321"/>
      <c r="T39" s="321"/>
      <c r="U39" s="321"/>
      <c r="V39" s="321"/>
      <c r="W39" s="321"/>
      <c r="X39" s="322"/>
      <c r="Z39" s="320" t="s">
        <v>1624</v>
      </c>
      <c r="AA39" s="321"/>
      <c r="AB39" s="321"/>
      <c r="AC39" s="321"/>
      <c r="AD39" s="321"/>
      <c r="AE39" s="321"/>
      <c r="AF39" s="321"/>
      <c r="AG39" s="321"/>
      <c r="AH39" s="321"/>
      <c r="AI39" s="321"/>
      <c r="AJ39" s="322"/>
    </row>
    <row r="40" spans="1:36" s="679" customFormat="1" ht="15" customHeight="1">
      <c r="A40" s="302"/>
      <c r="B40" s="925" t="s">
        <v>57</v>
      </c>
      <c r="C40" s="916" t="s">
        <v>1976</v>
      </c>
      <c r="D40" s="917"/>
      <c r="E40" s="925" t="s">
        <v>80</v>
      </c>
      <c r="F40" s="914" t="s">
        <v>68</v>
      </c>
      <c r="G40" s="691"/>
      <c r="H40" s="914" t="s">
        <v>70</v>
      </c>
      <c r="I40" s="925" t="s">
        <v>81</v>
      </c>
      <c r="J40" s="914" t="s">
        <v>71</v>
      </c>
      <c r="K40" s="908" t="s">
        <v>72</v>
      </c>
      <c r="L40" s="909"/>
      <c r="M40" s="297"/>
      <c r="N40" s="925" t="s">
        <v>57</v>
      </c>
      <c r="O40" s="916" t="s">
        <v>1976</v>
      </c>
      <c r="P40" s="917"/>
      <c r="Q40" s="925" t="s">
        <v>80</v>
      </c>
      <c r="R40" s="914" t="s">
        <v>68</v>
      </c>
      <c r="S40" s="691"/>
      <c r="T40" s="914" t="s">
        <v>70</v>
      </c>
      <c r="U40" s="925" t="s">
        <v>81</v>
      </c>
      <c r="V40" s="914" t="s">
        <v>71</v>
      </c>
      <c r="W40" s="908" t="s">
        <v>72</v>
      </c>
      <c r="X40" s="909"/>
      <c r="Z40" s="925" t="s">
        <v>57</v>
      </c>
      <c r="AA40" s="916" t="s">
        <v>1976</v>
      </c>
      <c r="AB40" s="917"/>
      <c r="AC40" s="925" t="s">
        <v>80</v>
      </c>
      <c r="AD40" s="914" t="s">
        <v>68</v>
      </c>
      <c r="AE40" s="691"/>
      <c r="AF40" s="914" t="s">
        <v>70</v>
      </c>
      <c r="AG40" s="925" t="s">
        <v>81</v>
      </c>
      <c r="AH40" s="914" t="s">
        <v>71</v>
      </c>
      <c r="AI40" s="908" t="s">
        <v>72</v>
      </c>
      <c r="AJ40" s="909"/>
    </row>
    <row r="41" spans="1:36" s="679" customFormat="1" ht="15" customHeight="1">
      <c r="A41" s="302"/>
      <c r="B41" s="926"/>
      <c r="C41" s="918"/>
      <c r="D41" s="919"/>
      <c r="E41" s="926"/>
      <c r="F41" s="915"/>
      <c r="G41" s="692" t="s">
        <v>82</v>
      </c>
      <c r="H41" s="915"/>
      <c r="I41" s="926"/>
      <c r="J41" s="915"/>
      <c r="K41" s="928"/>
      <c r="L41" s="929"/>
      <c r="M41" s="297"/>
      <c r="N41" s="926"/>
      <c r="O41" s="918"/>
      <c r="P41" s="919"/>
      <c r="Q41" s="926"/>
      <c r="R41" s="915"/>
      <c r="S41" s="692" t="s">
        <v>82</v>
      </c>
      <c r="T41" s="915"/>
      <c r="U41" s="926"/>
      <c r="V41" s="915"/>
      <c r="W41" s="928"/>
      <c r="X41" s="929"/>
      <c r="Z41" s="926"/>
      <c r="AA41" s="918"/>
      <c r="AB41" s="919"/>
      <c r="AC41" s="926"/>
      <c r="AD41" s="915"/>
      <c r="AE41" s="692" t="s">
        <v>82</v>
      </c>
      <c r="AF41" s="915"/>
      <c r="AG41" s="926"/>
      <c r="AH41" s="915"/>
      <c r="AI41" s="928"/>
      <c r="AJ41" s="929"/>
    </row>
    <row r="42" spans="1:36" s="679" customFormat="1" ht="15" customHeight="1">
      <c r="A42" s="302"/>
      <c r="B42" s="926"/>
      <c r="C42" s="918"/>
      <c r="D42" s="919"/>
      <c r="E42" s="926"/>
      <c r="F42" s="922"/>
      <c r="G42" s="692" t="s">
        <v>83</v>
      </c>
      <c r="H42" s="915"/>
      <c r="I42" s="926"/>
      <c r="J42" s="915"/>
      <c r="K42" s="910"/>
      <c r="L42" s="911"/>
      <c r="M42" s="297"/>
      <c r="N42" s="926"/>
      <c r="O42" s="918"/>
      <c r="P42" s="919"/>
      <c r="Q42" s="926"/>
      <c r="R42" s="922"/>
      <c r="S42" s="692" t="s">
        <v>83</v>
      </c>
      <c r="T42" s="915"/>
      <c r="U42" s="926"/>
      <c r="V42" s="915"/>
      <c r="W42" s="910"/>
      <c r="X42" s="911"/>
      <c r="Z42" s="926"/>
      <c r="AA42" s="918"/>
      <c r="AB42" s="919"/>
      <c r="AC42" s="926"/>
      <c r="AD42" s="922"/>
      <c r="AE42" s="692" t="s">
        <v>83</v>
      </c>
      <c r="AF42" s="915"/>
      <c r="AG42" s="926"/>
      <c r="AH42" s="915"/>
      <c r="AI42" s="910"/>
      <c r="AJ42" s="911"/>
    </row>
    <row r="43" spans="1:36" s="679" customFormat="1" ht="15" customHeight="1">
      <c r="A43" s="302"/>
      <c r="B43" s="927"/>
      <c r="C43" s="920"/>
      <c r="D43" s="921"/>
      <c r="E43" s="927"/>
      <c r="F43" s="571" t="s">
        <v>73</v>
      </c>
      <c r="G43" s="693"/>
      <c r="H43" s="922"/>
      <c r="I43" s="927"/>
      <c r="J43" s="922"/>
      <c r="K43" s="545" t="s">
        <v>2124</v>
      </c>
      <c r="L43" s="545" t="s">
        <v>2125</v>
      </c>
      <c r="M43" s="297"/>
      <c r="N43" s="927"/>
      <c r="O43" s="920"/>
      <c r="P43" s="921"/>
      <c r="Q43" s="927"/>
      <c r="R43" s="571" t="s">
        <v>73</v>
      </c>
      <c r="S43" s="693"/>
      <c r="T43" s="922"/>
      <c r="U43" s="927"/>
      <c r="V43" s="922"/>
      <c r="W43" s="545" t="s">
        <v>2124</v>
      </c>
      <c r="X43" s="545" t="s">
        <v>2125</v>
      </c>
      <c r="Z43" s="927"/>
      <c r="AA43" s="920"/>
      <c r="AB43" s="921"/>
      <c r="AC43" s="927"/>
      <c r="AD43" s="571" t="s">
        <v>73</v>
      </c>
      <c r="AE43" s="693"/>
      <c r="AF43" s="922"/>
      <c r="AG43" s="927"/>
      <c r="AH43" s="922"/>
      <c r="AI43" s="545" t="s">
        <v>2124</v>
      </c>
      <c r="AJ43" s="545" t="s">
        <v>2125</v>
      </c>
    </row>
    <row r="44" spans="1:36" ht="15" customHeight="1">
      <c r="B44" s="618">
        <v>1</v>
      </c>
      <c r="C44" s="923" t="s">
        <v>1964</v>
      </c>
      <c r="D44" s="924"/>
      <c r="E44" s="664">
        <v>3000</v>
      </c>
      <c r="F44" s="572" t="s">
        <v>75</v>
      </c>
      <c r="G44" s="645">
        <f>IF(F44="Jah",LOOKUP(C44,'HT-Sõidukikütused (M1)'!$B$5:$B$16,'HT-Sõidukikütused (M1)'!$C$5:$C$16),IF(F44="Ei","x "))</f>
        <v>2.2592161330623846</v>
      </c>
      <c r="H44" s="694"/>
      <c r="I44" s="289" t="str">
        <f t="shared" ref="I44:I53" si="0">IF(ISBLANK(C44),"",IF(RIGHT(C44,4)="(kg)","kg CO₂ ekv/kg",IF(RIGHT(C44,3)="(l)","kg CO₂ ekv/l")))</f>
        <v>kg CO₂ ekv/l</v>
      </c>
      <c r="J44" s="682" t="str">
        <f>IF(F44="Jah", LOOKUP(C44,'HT-Sõidukikütused (M1)'!$B$5:$B$16,'HT-Sõidukikütused (M1)'!$E$5:$E$16),IF(F44= "Ei", " "))</f>
        <v>KHG inventuuri aruanne 2022, kütteväärtus ~31,82 MJ/l</v>
      </c>
      <c r="K44" s="528">
        <f>IF(F44="Jah",E44*G44, IF(F44="Ei",H44*E44))</f>
        <v>6777.6483991871537</v>
      </c>
      <c r="L44" s="528">
        <f>K44*0.001</f>
        <v>6.7776483991871537</v>
      </c>
      <c r="N44" s="618"/>
      <c r="O44" s="923"/>
      <c r="P44" s="924"/>
      <c r="Q44" s="664"/>
      <c r="R44" s="572" t="s">
        <v>75</v>
      </c>
      <c r="S44" s="645" t="e">
        <f>IF(R44="Jah",LOOKUP(O44,'HT-Sõidukikütused (M1)'!$B$5:$B$16,'HT-Sõidukikütused (M1)'!$C$5:$C$16),IF(R44="Ei","x "))</f>
        <v>#N/A</v>
      </c>
      <c r="T44" s="694"/>
      <c r="U44" s="289" t="str">
        <f t="shared" ref="U44:U53" si="1">IF(ISBLANK(O44),"",IF(RIGHT(O44,4)="(kg)","kg CO₂ ekv/kg",IF(RIGHT(O44,3)="(l)","kg CO₂ ekv/l")))</f>
        <v/>
      </c>
      <c r="V44" s="682" t="e">
        <f>IF(R44="Jah", LOOKUP(O44,'HT-Sõidukikütused (M1)'!$B$5:$B$16,'HT-Sõidukikütused (M1)'!$E$5:$E$16),IF(R44= "Ei", " "))</f>
        <v>#N/A</v>
      </c>
      <c r="W44" s="528" t="e">
        <f>IF(R44="Jah",Q44*S44, IF(R44="Ei",T44*Q44))</f>
        <v>#N/A</v>
      </c>
      <c r="X44" s="528" t="e">
        <f>W44*0.001</f>
        <v>#N/A</v>
      </c>
      <c r="Z44" s="618"/>
      <c r="AA44" s="923"/>
      <c r="AB44" s="924"/>
      <c r="AC44" s="664"/>
      <c r="AD44" s="572" t="s">
        <v>75</v>
      </c>
      <c r="AE44" s="645" t="e">
        <f>IF(AD44="Jah",LOOKUP(AA44,'HT-Sõidukikütused (M1)'!$B$5:$B$16,'HT-Sõidukikütused (M1)'!$C$5:$C$16),IF(AD44="Ei","x "))</f>
        <v>#N/A</v>
      </c>
      <c r="AF44" s="694"/>
      <c r="AG44" s="289" t="str">
        <f t="shared" ref="AG44:AG53" si="2">IF(ISBLANK(AA44),"",IF(RIGHT(AA44,4)="(kg)","kg CO₂ ekv/kg",IF(RIGHT(AA44,3)="(l)","kg CO₂ ekv/l")))</f>
        <v/>
      </c>
      <c r="AH44" s="682" t="e">
        <f>IF(AD44="Jah", LOOKUP(AA44,'HT-Sõidukikütused (M1)'!$B$5:$B$16,'HT-Sõidukikütused (M1)'!$E$5:$E$16),IF(AD44= "Ei", " "))</f>
        <v>#N/A</v>
      </c>
      <c r="AI44" s="528" t="e">
        <f>IF(AD44="Jah",AC44*AE44, IF(AD44="Ei",AF44*AC44))</f>
        <v>#N/A</v>
      </c>
      <c r="AJ44" s="528" t="e">
        <f>AI44*0.001</f>
        <v>#N/A</v>
      </c>
    </row>
    <row r="45" spans="1:36" ht="15" customHeight="1">
      <c r="B45" s="618">
        <v>1</v>
      </c>
      <c r="C45" s="923" t="s">
        <v>1966</v>
      </c>
      <c r="D45" s="924"/>
      <c r="E45" s="664">
        <v>2000</v>
      </c>
      <c r="F45" s="572" t="s">
        <v>75</v>
      </c>
      <c r="G45" s="645">
        <f>IF(F45="Jah",LOOKUP(C45,'HT-Sõidukikütused (M1)'!$B$5:$B$16,'HT-Sõidukikütused (M1)'!$C$5:$C$16),IF(F45="Ei","x "))</f>
        <v>3.5000000000000003E-2</v>
      </c>
      <c r="H45" s="694"/>
      <c r="I45" s="289" t="str">
        <f t="shared" si="0"/>
        <v>kg CO₂ ekv/l</v>
      </c>
      <c r="J45" s="682" t="str">
        <f>IF(F45="Jah", LOOKUP(C45,'HT-Sõidukikütused (M1)'!$B$5:$B$16,'HT-Sõidukikütused (M1)'!$E$5:$E$16),IF(F45= "Ei", " "))</f>
        <v>UK GHG Conversion Factors 2021</v>
      </c>
      <c r="K45" s="528">
        <f t="shared" ref="K45:K53" si="3">IF(F45="Jah",E45*(G45), IF(F45="Ei",H45*E45))</f>
        <v>70</v>
      </c>
      <c r="L45" s="528">
        <f t="shared" ref="L45:L53" si="4">K45*0.001</f>
        <v>7.0000000000000007E-2</v>
      </c>
      <c r="N45" s="618"/>
      <c r="O45" s="923"/>
      <c r="P45" s="924"/>
      <c r="Q45" s="664"/>
      <c r="R45" s="572" t="s">
        <v>75</v>
      </c>
      <c r="S45" s="645" t="e">
        <f>IF(R45="Jah",LOOKUP(O45,'HT-Sõidukikütused (M1)'!$B$5:$B$16,'HT-Sõidukikütused (M1)'!$C$5:$C$16),IF(R45="Ei","x "))</f>
        <v>#N/A</v>
      </c>
      <c r="T45" s="694"/>
      <c r="U45" s="289" t="str">
        <f t="shared" si="1"/>
        <v/>
      </c>
      <c r="V45" s="682" t="e">
        <f>IF(R45="Jah", LOOKUP(O45,'HT-Sõidukikütused (M1)'!$B$5:$B$16,'HT-Sõidukikütused (M1)'!$E$5:$E$16),IF(R45= "Ei", " "))</f>
        <v>#N/A</v>
      </c>
      <c r="W45" s="528" t="e">
        <f t="shared" ref="W45:W53" si="5">IF(R45="Jah",Q45*(S45), IF(R45="Ei",T45*Q45))</f>
        <v>#N/A</v>
      </c>
      <c r="X45" s="528" t="e">
        <f t="shared" ref="X45:X53" si="6">W45*0.001</f>
        <v>#N/A</v>
      </c>
      <c r="Z45" s="618"/>
      <c r="AA45" s="923"/>
      <c r="AB45" s="924"/>
      <c r="AC45" s="664"/>
      <c r="AD45" s="572" t="s">
        <v>75</v>
      </c>
      <c r="AE45" s="645" t="e">
        <f>IF(AD45="Jah",LOOKUP(AA45,'HT-Sõidukikütused (M1)'!$B$5:$B$16,'HT-Sõidukikütused (M1)'!$C$5:$C$16),IF(AD45="Ei","x "))</f>
        <v>#N/A</v>
      </c>
      <c r="AF45" s="694"/>
      <c r="AG45" s="289" t="str">
        <f t="shared" si="2"/>
        <v/>
      </c>
      <c r="AH45" s="682" t="e">
        <f>IF(AD45="Jah", LOOKUP(AA45,'HT-Sõidukikütused (M1)'!$B$5:$B$16,'HT-Sõidukikütused (M1)'!$E$5:$E$16),IF(AD45= "Ei", " "))</f>
        <v>#N/A</v>
      </c>
      <c r="AI45" s="528" t="e">
        <f t="shared" ref="AI45:AI53" si="7">IF(AD45="Jah",AC45*(AE45), IF(AD45="Ei",AF45*AC45))</f>
        <v>#N/A</v>
      </c>
      <c r="AJ45" s="528" t="e">
        <f t="shared" ref="AJ45:AJ53" si="8">AI45*0.001</f>
        <v>#N/A</v>
      </c>
    </row>
    <row r="46" spans="1:36" ht="15" customHeight="1">
      <c r="A46" s="297"/>
      <c r="B46" s="618">
        <v>1</v>
      </c>
      <c r="C46" s="923" t="s">
        <v>1968</v>
      </c>
      <c r="D46" s="924"/>
      <c r="E46" s="664">
        <v>3000</v>
      </c>
      <c r="F46" s="572" t="s">
        <v>78</v>
      </c>
      <c r="G46" s="645" t="str">
        <f>IF(F46="Jah",LOOKUP(C46,'HT-Sõidukikütused (M1)'!$B$5:$B$16,'HT-Sõidukikütused (M1)'!$C$5:$C$16),IF(F46="Ei","x "))</f>
        <v xml:space="preserve">x </v>
      </c>
      <c r="H46" s="694">
        <v>2.58</v>
      </c>
      <c r="I46" s="289" t="str">
        <f t="shared" si="0"/>
        <v>kg CO₂ ekv/l</v>
      </c>
      <c r="J46" s="682" t="str">
        <f>IF(F46="Jah", LOOKUP(C46,'HT-Sõidukikütused (M1)'!$B$5:$B$16,'HT-Sõidukikütused (M1)'!$E$5:$E$16),IF(F46= "Ei", " "))</f>
        <v xml:space="preserve"> </v>
      </c>
      <c r="K46" s="528">
        <f t="shared" si="3"/>
        <v>7740</v>
      </c>
      <c r="L46" s="528">
        <f t="shared" si="4"/>
        <v>7.74</v>
      </c>
      <c r="N46" s="618"/>
      <c r="O46" s="923"/>
      <c r="P46" s="924"/>
      <c r="Q46" s="664"/>
      <c r="R46" s="572" t="s">
        <v>75</v>
      </c>
      <c r="S46" s="645" t="e">
        <f>IF(R46="Jah",LOOKUP(O46,'HT-Sõidukikütused (M1)'!$B$5:$B$16,'HT-Sõidukikütused (M1)'!$C$5:$C$16),IF(R46="Ei","x "))</f>
        <v>#N/A</v>
      </c>
      <c r="T46" s="694"/>
      <c r="U46" s="289" t="str">
        <f t="shared" si="1"/>
        <v/>
      </c>
      <c r="V46" s="682" t="e">
        <f>IF(R46="Jah", LOOKUP(O46,'HT-Sõidukikütused (M1)'!$B$5:$B$16,'HT-Sõidukikütused (M1)'!$E$5:$E$16),IF(R46= "Ei", " "))</f>
        <v>#N/A</v>
      </c>
      <c r="W46" s="528" t="e">
        <f t="shared" si="5"/>
        <v>#N/A</v>
      </c>
      <c r="X46" s="528" t="e">
        <f t="shared" si="6"/>
        <v>#N/A</v>
      </c>
      <c r="Z46" s="618"/>
      <c r="AA46" s="923"/>
      <c r="AB46" s="924"/>
      <c r="AC46" s="664"/>
      <c r="AD46" s="572" t="s">
        <v>75</v>
      </c>
      <c r="AE46" s="645" t="e">
        <f>IF(AD46="Jah",LOOKUP(AA46,'HT-Sõidukikütused (M1)'!$B$5:$B$16,'HT-Sõidukikütused (M1)'!$C$5:$C$16),IF(AD46="Ei","x "))</f>
        <v>#N/A</v>
      </c>
      <c r="AF46" s="694"/>
      <c r="AG46" s="289" t="str">
        <f t="shared" si="2"/>
        <v/>
      </c>
      <c r="AH46" s="682" t="e">
        <f>IF(AD46="Jah", LOOKUP(AA46,'HT-Sõidukikütused (M1)'!$B$5:$B$16,'HT-Sõidukikütused (M1)'!$E$5:$E$16),IF(AD46= "Ei", " "))</f>
        <v>#N/A</v>
      </c>
      <c r="AI46" s="528" t="e">
        <f t="shared" si="7"/>
        <v>#N/A</v>
      </c>
      <c r="AJ46" s="528" t="e">
        <f t="shared" si="8"/>
        <v>#N/A</v>
      </c>
    </row>
    <row r="47" spans="1:36" ht="15" customHeight="1">
      <c r="B47" s="618"/>
      <c r="C47" s="923"/>
      <c r="D47" s="924"/>
      <c r="E47" s="664"/>
      <c r="F47" s="572" t="s">
        <v>75</v>
      </c>
      <c r="G47" s="645" t="e">
        <f>IF(F47="Jah",LOOKUP(C47,'HT-Sõidukikütused (M1)'!$B$5:$B$16,'HT-Sõidukikütused (M1)'!$C$5:$C$16),IF(F47="Ei","x "))</f>
        <v>#N/A</v>
      </c>
      <c r="H47" s="694"/>
      <c r="I47" s="289" t="str">
        <f t="shared" si="0"/>
        <v/>
      </c>
      <c r="J47" s="682" t="e">
        <f>IF(F47="Jah", LOOKUP(C47,'HT-Sõidukikütused (M1)'!$B$5:$B$16,'HT-Sõidukikütused (M1)'!$E$5:$E$16),IF(F47= "Ei", " "))</f>
        <v>#N/A</v>
      </c>
      <c r="K47" s="528" t="e">
        <f t="shared" si="3"/>
        <v>#N/A</v>
      </c>
      <c r="L47" s="528" t="e">
        <f t="shared" si="4"/>
        <v>#N/A</v>
      </c>
      <c r="N47" s="618"/>
      <c r="O47" s="923"/>
      <c r="P47" s="924"/>
      <c r="Q47" s="664"/>
      <c r="R47" s="572" t="s">
        <v>75</v>
      </c>
      <c r="S47" s="645" t="e">
        <f>IF(R47="Jah",LOOKUP(O47,'HT-Sõidukikütused (M1)'!$B$5:$B$16,'HT-Sõidukikütused (M1)'!$C$5:$C$16),IF(R47="Ei","x "))</f>
        <v>#N/A</v>
      </c>
      <c r="T47" s="694"/>
      <c r="U47" s="289" t="str">
        <f t="shared" si="1"/>
        <v/>
      </c>
      <c r="V47" s="682" t="e">
        <f>IF(R47="Jah", LOOKUP(O47,'HT-Sõidukikütused (M1)'!$B$5:$B$16,'HT-Sõidukikütused (M1)'!$E$5:$E$16),IF(R47= "Ei", " "))</f>
        <v>#N/A</v>
      </c>
      <c r="W47" s="528" t="e">
        <f t="shared" si="5"/>
        <v>#N/A</v>
      </c>
      <c r="X47" s="528" t="e">
        <f t="shared" si="6"/>
        <v>#N/A</v>
      </c>
      <c r="Z47" s="618"/>
      <c r="AA47" s="923"/>
      <c r="AB47" s="924"/>
      <c r="AC47" s="664"/>
      <c r="AD47" s="572" t="s">
        <v>75</v>
      </c>
      <c r="AE47" s="645" t="e">
        <f>IF(AD47="Jah",LOOKUP(AA47,'HT-Sõidukikütused (M1)'!$B$5:$B$16,'HT-Sõidukikütused (M1)'!$C$5:$C$16),IF(AD47="Ei","x "))</f>
        <v>#N/A</v>
      </c>
      <c r="AF47" s="694"/>
      <c r="AG47" s="289" t="str">
        <f t="shared" si="2"/>
        <v/>
      </c>
      <c r="AH47" s="682" t="e">
        <f>IF(AD47="Jah", LOOKUP(AA47,'HT-Sõidukikütused (M1)'!$B$5:$B$16,'HT-Sõidukikütused (M1)'!$E$5:$E$16),IF(AD47= "Ei", " "))</f>
        <v>#N/A</v>
      </c>
      <c r="AI47" s="528" t="e">
        <f t="shared" si="7"/>
        <v>#N/A</v>
      </c>
      <c r="AJ47" s="528" t="e">
        <f t="shared" si="8"/>
        <v>#N/A</v>
      </c>
    </row>
    <row r="48" spans="1:36" ht="15" customHeight="1">
      <c r="B48" s="618"/>
      <c r="C48" s="923"/>
      <c r="D48" s="924"/>
      <c r="E48" s="664"/>
      <c r="F48" s="572" t="s">
        <v>75</v>
      </c>
      <c r="G48" s="645" t="e">
        <f>IF(F48="Jah",LOOKUP(C48,'HT-Sõidukikütused (M1)'!$B$5:$B$16,'HT-Sõidukikütused (M1)'!$C$5:$C$16),IF(F48="Ei","x "))</f>
        <v>#N/A</v>
      </c>
      <c r="H48" s="694"/>
      <c r="I48" s="289" t="str">
        <f t="shared" si="0"/>
        <v/>
      </c>
      <c r="J48" s="682" t="e">
        <f>IF(F48="Jah", LOOKUP(C48,'HT-Sõidukikütused (M1)'!$B$5:$B$16,'HT-Sõidukikütused (M1)'!$E$5:$E$16),IF(F48= "Ei", " "))</f>
        <v>#N/A</v>
      </c>
      <c r="K48" s="528" t="e">
        <f t="shared" si="3"/>
        <v>#N/A</v>
      </c>
      <c r="L48" s="528" t="e">
        <f t="shared" si="4"/>
        <v>#N/A</v>
      </c>
      <c r="N48" s="618"/>
      <c r="O48" s="923"/>
      <c r="P48" s="924"/>
      <c r="Q48" s="664"/>
      <c r="R48" s="572" t="s">
        <v>75</v>
      </c>
      <c r="S48" s="645" t="e">
        <f>IF(R48="Jah",LOOKUP(O48,'HT-Sõidukikütused (M1)'!$B$5:$B$16,'HT-Sõidukikütused (M1)'!$C$5:$C$16),IF(R48="Ei","x "))</f>
        <v>#N/A</v>
      </c>
      <c r="T48" s="694"/>
      <c r="U48" s="289" t="str">
        <f t="shared" si="1"/>
        <v/>
      </c>
      <c r="V48" s="682" t="e">
        <f>IF(R48="Jah", LOOKUP(O48,'HT-Sõidukikütused (M1)'!$B$5:$B$16,'HT-Sõidukikütused (M1)'!$E$5:$E$16),IF(R48= "Ei", " "))</f>
        <v>#N/A</v>
      </c>
      <c r="W48" s="528" t="e">
        <f t="shared" si="5"/>
        <v>#N/A</v>
      </c>
      <c r="X48" s="528" t="e">
        <f t="shared" si="6"/>
        <v>#N/A</v>
      </c>
      <c r="Z48" s="618"/>
      <c r="AA48" s="923"/>
      <c r="AB48" s="924"/>
      <c r="AC48" s="664"/>
      <c r="AD48" s="572" t="s">
        <v>75</v>
      </c>
      <c r="AE48" s="645" t="e">
        <f>IF(AD48="Jah",LOOKUP(AA48,'HT-Sõidukikütused (M1)'!$B$5:$B$16,'HT-Sõidukikütused (M1)'!$C$5:$C$16),IF(AD48="Ei","x "))</f>
        <v>#N/A</v>
      </c>
      <c r="AF48" s="694"/>
      <c r="AG48" s="289" t="str">
        <f t="shared" si="2"/>
        <v/>
      </c>
      <c r="AH48" s="682" t="e">
        <f>IF(AD48="Jah", LOOKUP(AA48,'HT-Sõidukikütused (M1)'!$B$5:$B$16,'HT-Sõidukikütused (M1)'!$E$5:$E$16),IF(AD48= "Ei", " "))</f>
        <v>#N/A</v>
      </c>
      <c r="AI48" s="528" t="e">
        <f t="shared" si="7"/>
        <v>#N/A</v>
      </c>
      <c r="AJ48" s="528" t="e">
        <f t="shared" si="8"/>
        <v>#N/A</v>
      </c>
    </row>
    <row r="49" spans="1:36" ht="15" customHeight="1">
      <c r="B49" s="618"/>
      <c r="C49" s="923"/>
      <c r="D49" s="924"/>
      <c r="E49" s="664"/>
      <c r="F49" s="572" t="s">
        <v>75</v>
      </c>
      <c r="G49" s="645" t="e">
        <f>IF(F49="Jah",LOOKUP(C49,'HT-Sõidukikütused (M1)'!$B$5:$B$16,'HT-Sõidukikütused (M1)'!$C$5:$C$16),IF(F49="Ei","x "))</f>
        <v>#N/A</v>
      </c>
      <c r="H49" s="694"/>
      <c r="I49" s="289" t="str">
        <f t="shared" si="0"/>
        <v/>
      </c>
      <c r="J49" s="682" t="e">
        <f>IF(F49="Jah", LOOKUP(C49,'HT-Sõidukikütused (M1)'!$B$5:$B$16,'HT-Sõidukikütused (M1)'!$E$5:$E$16),IF(F49= "Ei", " "))</f>
        <v>#N/A</v>
      </c>
      <c r="K49" s="528" t="e">
        <f t="shared" si="3"/>
        <v>#N/A</v>
      </c>
      <c r="L49" s="528" t="e">
        <f t="shared" si="4"/>
        <v>#N/A</v>
      </c>
      <c r="N49" s="618"/>
      <c r="O49" s="923"/>
      <c r="P49" s="924"/>
      <c r="Q49" s="664"/>
      <c r="R49" s="572" t="s">
        <v>75</v>
      </c>
      <c r="S49" s="645" t="e">
        <f>IF(R49="Jah",LOOKUP(O49,'HT-Sõidukikütused (M1)'!$B$5:$B$16,'HT-Sõidukikütused (M1)'!$C$5:$C$16),IF(R49="Ei","x "))</f>
        <v>#N/A</v>
      </c>
      <c r="T49" s="694"/>
      <c r="U49" s="289" t="str">
        <f t="shared" si="1"/>
        <v/>
      </c>
      <c r="V49" s="682" t="e">
        <f>IF(R49="Jah", LOOKUP(O49,'HT-Sõidukikütused (M1)'!$B$5:$B$16,'HT-Sõidukikütused (M1)'!$E$5:$E$16),IF(R49= "Ei", " "))</f>
        <v>#N/A</v>
      </c>
      <c r="W49" s="528" t="e">
        <f t="shared" si="5"/>
        <v>#N/A</v>
      </c>
      <c r="X49" s="528" t="e">
        <f t="shared" si="6"/>
        <v>#N/A</v>
      </c>
      <c r="Z49" s="618"/>
      <c r="AA49" s="923"/>
      <c r="AB49" s="924"/>
      <c r="AC49" s="664"/>
      <c r="AD49" s="572" t="s">
        <v>75</v>
      </c>
      <c r="AE49" s="645" t="e">
        <f>IF(AD49="Jah",LOOKUP(AA49,'HT-Sõidukikütused (M1)'!$B$5:$B$16,'HT-Sõidukikütused (M1)'!$C$5:$C$16),IF(AD49="Ei","x "))</f>
        <v>#N/A</v>
      </c>
      <c r="AF49" s="694"/>
      <c r="AG49" s="289" t="str">
        <f t="shared" si="2"/>
        <v/>
      </c>
      <c r="AH49" s="682" t="e">
        <f>IF(AD49="Jah", LOOKUP(AA49,'HT-Sõidukikütused (M1)'!$B$5:$B$16,'HT-Sõidukikütused (M1)'!$E$5:$E$16),IF(AD49= "Ei", " "))</f>
        <v>#N/A</v>
      </c>
      <c r="AI49" s="528" t="e">
        <f t="shared" si="7"/>
        <v>#N/A</v>
      </c>
      <c r="AJ49" s="528" t="e">
        <f t="shared" si="8"/>
        <v>#N/A</v>
      </c>
    </row>
    <row r="50" spans="1:36" ht="15" customHeight="1">
      <c r="B50" s="618"/>
      <c r="C50" s="923"/>
      <c r="D50" s="924"/>
      <c r="E50" s="664"/>
      <c r="F50" s="572" t="s">
        <v>75</v>
      </c>
      <c r="G50" s="645" t="e">
        <f>IF(F50="Jah",LOOKUP(C50,'HT-Sõidukikütused (M1)'!$B$5:$B$16,'HT-Sõidukikütused (M1)'!$C$5:$C$16),IF(F50="Ei","x "))</f>
        <v>#N/A</v>
      </c>
      <c r="H50" s="618"/>
      <c r="I50" s="289" t="str">
        <f t="shared" si="0"/>
        <v/>
      </c>
      <c r="J50" s="682" t="e">
        <f>IF(F50="Jah", LOOKUP(C50,'HT-Sõidukikütused (M1)'!$B$5:$B$16,'HT-Sõidukikütused (M1)'!$E$5:$E$16),IF(F50= "Ei", " "))</f>
        <v>#N/A</v>
      </c>
      <c r="K50" s="528" t="e">
        <f t="shared" si="3"/>
        <v>#N/A</v>
      </c>
      <c r="L50" s="528" t="e">
        <f t="shared" si="4"/>
        <v>#N/A</v>
      </c>
      <c r="N50" s="618"/>
      <c r="O50" s="923"/>
      <c r="P50" s="924"/>
      <c r="Q50" s="664"/>
      <c r="R50" s="572" t="s">
        <v>75</v>
      </c>
      <c r="S50" s="645" t="e">
        <f>IF(R50="Jah",LOOKUP(O50,'HT-Sõidukikütused (M1)'!$B$5:$B$16,'HT-Sõidukikütused (M1)'!$C$5:$C$16),IF(R50="Ei","x "))</f>
        <v>#N/A</v>
      </c>
      <c r="T50" s="618"/>
      <c r="U50" s="289" t="str">
        <f t="shared" si="1"/>
        <v/>
      </c>
      <c r="V50" s="682" t="e">
        <f>IF(R50="Jah", LOOKUP(O50,'HT-Sõidukikütused (M1)'!$B$5:$B$16,'HT-Sõidukikütused (M1)'!$E$5:$E$16),IF(R50= "Ei", " "))</f>
        <v>#N/A</v>
      </c>
      <c r="W50" s="528" t="e">
        <f t="shared" si="5"/>
        <v>#N/A</v>
      </c>
      <c r="X50" s="528" t="e">
        <f t="shared" si="6"/>
        <v>#N/A</v>
      </c>
      <c r="Z50" s="618"/>
      <c r="AA50" s="923"/>
      <c r="AB50" s="924"/>
      <c r="AC50" s="664"/>
      <c r="AD50" s="572" t="s">
        <v>75</v>
      </c>
      <c r="AE50" s="645" t="e">
        <f>IF(AD50="Jah",LOOKUP(AA50,'HT-Sõidukikütused (M1)'!$B$5:$B$16,'HT-Sõidukikütused (M1)'!$C$5:$C$16),IF(AD50="Ei","x "))</f>
        <v>#N/A</v>
      </c>
      <c r="AF50" s="618"/>
      <c r="AG50" s="289" t="str">
        <f t="shared" si="2"/>
        <v/>
      </c>
      <c r="AH50" s="682" t="e">
        <f>IF(AD50="Jah", LOOKUP(AA50,'HT-Sõidukikütused (M1)'!$B$5:$B$16,'HT-Sõidukikütused (M1)'!$E$5:$E$16),IF(AD50= "Ei", " "))</f>
        <v>#N/A</v>
      </c>
      <c r="AI50" s="528" t="e">
        <f t="shared" si="7"/>
        <v>#N/A</v>
      </c>
      <c r="AJ50" s="528" t="e">
        <f t="shared" si="8"/>
        <v>#N/A</v>
      </c>
    </row>
    <row r="51" spans="1:36" ht="15" customHeight="1">
      <c r="B51" s="618"/>
      <c r="C51" s="923"/>
      <c r="D51" s="924"/>
      <c r="E51" s="664"/>
      <c r="F51" s="572" t="s">
        <v>75</v>
      </c>
      <c r="G51" s="645" t="e">
        <f>IF(F51="Jah",LOOKUP(C51,'HT-Sõidukikütused (M1)'!$B$5:$B$16,'HT-Sõidukikütused (M1)'!$C$5:$C$16),IF(F51="Ei","x "))</f>
        <v>#N/A</v>
      </c>
      <c r="H51" s="618"/>
      <c r="I51" s="289" t="str">
        <f t="shared" si="0"/>
        <v/>
      </c>
      <c r="J51" s="682" t="e">
        <f>IF(F51="Jah", LOOKUP(C51,'HT-Sõidukikütused (M1)'!$B$5:$B$16,'HT-Sõidukikütused (M1)'!$E$5:$E$16),IF(F51= "Ei", " "))</f>
        <v>#N/A</v>
      </c>
      <c r="K51" s="528" t="e">
        <f t="shared" si="3"/>
        <v>#N/A</v>
      </c>
      <c r="L51" s="528" t="e">
        <f t="shared" si="4"/>
        <v>#N/A</v>
      </c>
      <c r="N51" s="618"/>
      <c r="O51" s="923"/>
      <c r="P51" s="924"/>
      <c r="Q51" s="664"/>
      <c r="R51" s="572" t="s">
        <v>75</v>
      </c>
      <c r="S51" s="645" t="e">
        <f>IF(R51="Jah",LOOKUP(O51,'HT-Sõidukikütused (M1)'!$B$5:$B$16,'HT-Sõidukikütused (M1)'!$C$5:$C$16),IF(R51="Ei","x "))</f>
        <v>#N/A</v>
      </c>
      <c r="T51" s="618"/>
      <c r="U51" s="289" t="str">
        <f t="shared" si="1"/>
        <v/>
      </c>
      <c r="V51" s="682" t="e">
        <f>IF(R51="Jah", LOOKUP(O51,'HT-Sõidukikütused (M1)'!$B$5:$B$16,'HT-Sõidukikütused (M1)'!$E$5:$E$16),IF(R51= "Ei", " "))</f>
        <v>#N/A</v>
      </c>
      <c r="W51" s="528" t="e">
        <f t="shared" si="5"/>
        <v>#N/A</v>
      </c>
      <c r="X51" s="528" t="e">
        <f t="shared" si="6"/>
        <v>#N/A</v>
      </c>
      <c r="Z51" s="618"/>
      <c r="AA51" s="923"/>
      <c r="AB51" s="924"/>
      <c r="AC51" s="664"/>
      <c r="AD51" s="572" t="s">
        <v>75</v>
      </c>
      <c r="AE51" s="645" t="e">
        <f>IF(AD51="Jah",LOOKUP(AA51,'HT-Sõidukikütused (M1)'!$B$5:$B$16,'HT-Sõidukikütused (M1)'!$C$5:$C$16),IF(AD51="Ei","x "))</f>
        <v>#N/A</v>
      </c>
      <c r="AF51" s="618"/>
      <c r="AG51" s="289" t="str">
        <f t="shared" si="2"/>
        <v/>
      </c>
      <c r="AH51" s="682" t="e">
        <f>IF(AD51="Jah", LOOKUP(AA51,'HT-Sõidukikütused (M1)'!$B$5:$B$16,'HT-Sõidukikütused (M1)'!$E$5:$E$16),IF(AD51= "Ei", " "))</f>
        <v>#N/A</v>
      </c>
      <c r="AI51" s="528" t="e">
        <f t="shared" si="7"/>
        <v>#N/A</v>
      </c>
      <c r="AJ51" s="528" t="e">
        <f t="shared" si="8"/>
        <v>#N/A</v>
      </c>
    </row>
    <row r="52" spans="1:36" ht="15" customHeight="1">
      <c r="B52" s="618"/>
      <c r="C52" s="923"/>
      <c r="D52" s="924"/>
      <c r="E52" s="664"/>
      <c r="F52" s="572" t="s">
        <v>75</v>
      </c>
      <c r="G52" s="645" t="e">
        <f>IF(F52="Jah",LOOKUP(C52,'HT-Sõidukikütused (M1)'!$B$5:$B$16,'HT-Sõidukikütused (M1)'!$C$5:$C$16),IF(F52="Ei","x "))</f>
        <v>#N/A</v>
      </c>
      <c r="H52" s="618"/>
      <c r="I52" s="289" t="str">
        <f t="shared" si="0"/>
        <v/>
      </c>
      <c r="J52" s="682" t="e">
        <f>IF(F52="Jah", LOOKUP(C52,'HT-Sõidukikütused (M1)'!$B$5:$B$16,'HT-Sõidukikütused (M1)'!$E$5:$E$16),IF(F52= "Ei", " "))</f>
        <v>#N/A</v>
      </c>
      <c r="K52" s="528" t="e">
        <f t="shared" si="3"/>
        <v>#N/A</v>
      </c>
      <c r="L52" s="528" t="e">
        <f t="shared" si="4"/>
        <v>#N/A</v>
      </c>
      <c r="N52" s="618"/>
      <c r="O52" s="923"/>
      <c r="P52" s="924"/>
      <c r="Q52" s="664"/>
      <c r="R52" s="572" t="s">
        <v>75</v>
      </c>
      <c r="S52" s="645" t="e">
        <f>IF(R52="Jah",LOOKUP(O52,'HT-Sõidukikütused (M1)'!$B$5:$B$16,'HT-Sõidukikütused (M1)'!$C$5:$C$16),IF(R52="Ei","x "))</f>
        <v>#N/A</v>
      </c>
      <c r="T52" s="618"/>
      <c r="U52" s="289" t="str">
        <f t="shared" si="1"/>
        <v/>
      </c>
      <c r="V52" s="682" t="e">
        <f>IF(R52="Jah", LOOKUP(O52,'HT-Sõidukikütused (M1)'!$B$5:$B$16,'HT-Sõidukikütused (M1)'!$E$5:$E$16),IF(R52= "Ei", " "))</f>
        <v>#N/A</v>
      </c>
      <c r="W52" s="528" t="e">
        <f t="shared" si="5"/>
        <v>#N/A</v>
      </c>
      <c r="X52" s="528" t="e">
        <f t="shared" si="6"/>
        <v>#N/A</v>
      </c>
      <c r="Z52" s="618"/>
      <c r="AA52" s="923"/>
      <c r="AB52" s="924"/>
      <c r="AC52" s="664"/>
      <c r="AD52" s="572" t="s">
        <v>75</v>
      </c>
      <c r="AE52" s="645" t="e">
        <f>IF(AD52="Jah",LOOKUP(AA52,'HT-Sõidukikütused (M1)'!$B$5:$B$16,'HT-Sõidukikütused (M1)'!$C$5:$C$16),IF(AD52="Ei","x "))</f>
        <v>#N/A</v>
      </c>
      <c r="AF52" s="618"/>
      <c r="AG52" s="289" t="str">
        <f t="shared" si="2"/>
        <v/>
      </c>
      <c r="AH52" s="682" t="e">
        <f>IF(AD52="Jah", LOOKUP(AA52,'HT-Sõidukikütused (M1)'!$B$5:$B$16,'HT-Sõidukikütused (M1)'!$E$5:$E$16),IF(AD52= "Ei", " "))</f>
        <v>#N/A</v>
      </c>
      <c r="AI52" s="528" t="e">
        <f t="shared" si="7"/>
        <v>#N/A</v>
      </c>
      <c r="AJ52" s="528" t="e">
        <f t="shared" si="8"/>
        <v>#N/A</v>
      </c>
    </row>
    <row r="53" spans="1:36" ht="15" customHeight="1">
      <c r="B53" s="618"/>
      <c r="C53" s="923"/>
      <c r="D53" s="924"/>
      <c r="E53" s="664"/>
      <c r="F53" s="572" t="s">
        <v>75</v>
      </c>
      <c r="G53" s="645" t="e">
        <f>IF(F53="Jah",LOOKUP(C53,'HT-Sõidukikütused (M1)'!$B$5:$B$16,'HT-Sõidukikütused (M1)'!$C$5:$C$16),IF(F53="Ei","x "))</f>
        <v>#N/A</v>
      </c>
      <c r="H53" s="618"/>
      <c r="I53" s="289" t="str">
        <f t="shared" si="0"/>
        <v/>
      </c>
      <c r="J53" s="682" t="e">
        <f>IF(F53="Jah", LOOKUP(C53,'HT-Sõidukikütused (M1)'!$B$5:$B$16,'HT-Sõidukikütused (M1)'!$E$5:$E$16),IF(F53= "Ei", " "))</f>
        <v>#N/A</v>
      </c>
      <c r="K53" s="528" t="e">
        <f t="shared" si="3"/>
        <v>#N/A</v>
      </c>
      <c r="L53" s="528" t="e">
        <f t="shared" si="4"/>
        <v>#N/A</v>
      </c>
      <c r="N53" s="618"/>
      <c r="O53" s="923"/>
      <c r="P53" s="924"/>
      <c r="Q53" s="664"/>
      <c r="R53" s="572" t="s">
        <v>75</v>
      </c>
      <c r="S53" s="645" t="e">
        <f>IF(R53="Jah",LOOKUP(O53,'HT-Sõidukikütused (M1)'!$B$5:$B$16,'HT-Sõidukikütused (M1)'!$C$5:$C$16),IF(R53="Ei","x "))</f>
        <v>#N/A</v>
      </c>
      <c r="T53" s="618"/>
      <c r="U53" s="289" t="str">
        <f t="shared" si="1"/>
        <v/>
      </c>
      <c r="V53" s="682" t="e">
        <f>IF(R53="Jah", LOOKUP(O53,'HT-Sõidukikütused (M1)'!$B$5:$B$16,'HT-Sõidukikütused (M1)'!$E$5:$E$16),IF(R53= "Ei", " "))</f>
        <v>#N/A</v>
      </c>
      <c r="W53" s="528" t="e">
        <f t="shared" si="5"/>
        <v>#N/A</v>
      </c>
      <c r="X53" s="528" t="e">
        <f t="shared" si="6"/>
        <v>#N/A</v>
      </c>
      <c r="Z53" s="618"/>
      <c r="AA53" s="923"/>
      <c r="AB53" s="924"/>
      <c r="AC53" s="664"/>
      <c r="AD53" s="572" t="s">
        <v>75</v>
      </c>
      <c r="AE53" s="645" t="e">
        <f>IF(AD53="Jah",LOOKUP(AA53,'HT-Sõidukikütused (M1)'!$B$5:$B$16,'HT-Sõidukikütused (M1)'!$C$5:$C$16),IF(AD53="Ei","x "))</f>
        <v>#N/A</v>
      </c>
      <c r="AF53" s="618"/>
      <c r="AG53" s="289" t="str">
        <f t="shared" si="2"/>
        <v/>
      </c>
      <c r="AH53" s="682" t="e">
        <f>IF(AD53="Jah", LOOKUP(AA53,'HT-Sõidukikütused (M1)'!$B$5:$B$16,'HT-Sõidukikütused (M1)'!$E$5:$E$16),IF(AD53= "Ei", " "))</f>
        <v>#N/A</v>
      </c>
      <c r="AI53" s="528" t="e">
        <f t="shared" si="7"/>
        <v>#N/A</v>
      </c>
      <c r="AJ53" s="528" t="e">
        <f t="shared" si="8"/>
        <v>#N/A</v>
      </c>
    </row>
    <row r="54" spans="1:36" ht="15" customHeight="1">
      <c r="B54" s="536"/>
      <c r="C54" s="537"/>
      <c r="D54" s="537"/>
      <c r="E54" s="537"/>
      <c r="F54" s="537"/>
      <c r="G54" s="537"/>
      <c r="H54" s="537"/>
      <c r="I54" s="537"/>
      <c r="J54" s="592" t="s">
        <v>1592</v>
      </c>
      <c r="K54" s="594">
        <f>SUMIF(K44:K53,"&lt;&gt;#N/A")</f>
        <v>14587.648399187154</v>
      </c>
      <c r="L54" s="594">
        <f>SUMIF(L44:L53,"&lt;&gt;#N/A")</f>
        <v>14.587648399187154</v>
      </c>
      <c r="N54" s="536"/>
      <c r="O54" s="537"/>
      <c r="P54" s="537"/>
      <c r="Q54" s="537"/>
      <c r="R54" s="537"/>
      <c r="S54" s="537"/>
      <c r="T54" s="537"/>
      <c r="U54" s="537"/>
      <c r="V54" s="592" t="s">
        <v>1592</v>
      </c>
      <c r="W54" s="594">
        <f>SUMIF(W44:W53,"&lt;&gt;#N/A")</f>
        <v>0</v>
      </c>
      <c r="X54" s="594">
        <f>SUMIF(X44:X53,"&lt;&gt;#N/A")</f>
        <v>0</v>
      </c>
      <c r="Z54" s="536"/>
      <c r="AA54" s="537"/>
      <c r="AB54" s="537"/>
      <c r="AC54" s="537"/>
      <c r="AD54" s="537"/>
      <c r="AE54" s="537"/>
      <c r="AF54" s="537"/>
      <c r="AG54" s="537"/>
      <c r="AH54" s="592" t="s">
        <v>1592</v>
      </c>
      <c r="AI54" s="594">
        <f>SUMIF(AI44:AI53,"&lt;&gt;#N/A")</f>
        <v>0</v>
      </c>
      <c r="AJ54" s="594">
        <f>SUMIF(AJ44:AJ53,"&lt;&gt;#N/A")</f>
        <v>0</v>
      </c>
    </row>
    <row r="55" spans="1:36" ht="15" customHeight="1">
      <c r="B55" s="297"/>
      <c r="C55" s="297"/>
      <c r="D55" s="297"/>
      <c r="F55" s="297"/>
      <c r="G55" s="297"/>
      <c r="H55" s="297"/>
      <c r="I55" s="297"/>
      <c r="J55" s="297"/>
      <c r="K55" s="297"/>
      <c r="L55" s="297"/>
      <c r="N55" s="297"/>
      <c r="O55" s="297"/>
      <c r="P55" s="297"/>
      <c r="Q55" s="297"/>
      <c r="R55" s="297"/>
      <c r="S55" s="297"/>
      <c r="T55" s="297"/>
      <c r="U55" s="297"/>
      <c r="V55" s="297"/>
      <c r="W55" s="297"/>
      <c r="X55" s="297"/>
      <c r="Z55" s="297"/>
      <c r="AA55" s="297"/>
      <c r="AB55" s="297"/>
      <c r="AC55" s="297"/>
      <c r="AD55" s="297"/>
      <c r="AE55" s="297"/>
      <c r="AF55" s="297"/>
      <c r="AG55" s="297"/>
      <c r="AH55" s="297"/>
      <c r="AI55" s="297"/>
      <c r="AJ55" s="297"/>
    </row>
    <row r="56" spans="1:36" ht="15" customHeight="1">
      <c r="B56" s="297"/>
      <c r="C56" s="297"/>
      <c r="D56" s="297"/>
      <c r="F56" s="297"/>
      <c r="G56" s="297"/>
      <c r="H56" s="297"/>
      <c r="I56" s="297"/>
      <c r="J56" s="297"/>
      <c r="K56" s="297"/>
      <c r="L56" s="297"/>
      <c r="N56" s="297"/>
      <c r="O56" s="297"/>
      <c r="P56" s="297"/>
      <c r="Q56" s="297"/>
      <c r="R56" s="297"/>
      <c r="S56" s="297"/>
      <c r="T56" s="297"/>
      <c r="U56" s="297"/>
      <c r="V56" s="297"/>
      <c r="W56" s="297"/>
      <c r="X56" s="297"/>
      <c r="Z56" s="297"/>
      <c r="AA56" s="297"/>
      <c r="AB56" s="297"/>
      <c r="AC56" s="297"/>
      <c r="AD56" s="297"/>
      <c r="AE56" s="297"/>
      <c r="AF56" s="297"/>
      <c r="AG56" s="297"/>
      <c r="AH56" s="297"/>
      <c r="AI56" s="297"/>
      <c r="AJ56" s="297"/>
    </row>
    <row r="57" spans="1:36" s="297" customFormat="1" ht="15" customHeight="1">
      <c r="A57" s="302"/>
      <c r="B57" s="308" t="s">
        <v>2266</v>
      </c>
      <c r="C57" s="543"/>
      <c r="D57" s="543"/>
      <c r="E57" s="543"/>
      <c r="F57" s="543"/>
      <c r="G57" s="543"/>
      <c r="H57" s="543"/>
      <c r="I57" s="543"/>
      <c r="J57" s="543"/>
      <c r="K57" s="543"/>
      <c r="L57" s="544"/>
      <c r="N57" s="308" t="s">
        <v>1661</v>
      </c>
      <c r="O57" s="543"/>
      <c r="P57" s="543"/>
      <c r="Q57" s="543"/>
      <c r="R57" s="543"/>
      <c r="S57" s="543"/>
      <c r="T57" s="543"/>
      <c r="U57" s="543"/>
      <c r="V57" s="543"/>
      <c r="W57" s="543"/>
      <c r="X57" s="544"/>
      <c r="Z57" s="308" t="s">
        <v>1661</v>
      </c>
      <c r="AA57" s="543"/>
      <c r="AB57" s="543"/>
      <c r="AC57" s="543"/>
      <c r="AD57" s="543"/>
      <c r="AE57" s="543"/>
      <c r="AF57" s="543"/>
      <c r="AG57" s="543"/>
      <c r="AH57" s="543"/>
      <c r="AI57" s="543"/>
      <c r="AJ57" s="544"/>
    </row>
    <row r="58" spans="1:36" s="679" customFormat="1" ht="15" customHeight="1">
      <c r="A58" s="302"/>
      <c r="B58" s="925" t="s">
        <v>57</v>
      </c>
      <c r="C58" s="908" t="s">
        <v>1994</v>
      </c>
      <c r="D58" s="909"/>
      <c r="E58" s="925" t="s">
        <v>80</v>
      </c>
      <c r="F58" s="914" t="s">
        <v>85</v>
      </c>
      <c r="G58" s="691"/>
      <c r="H58" s="914" t="s">
        <v>70</v>
      </c>
      <c r="I58" s="925" t="s">
        <v>81</v>
      </c>
      <c r="J58" s="914" t="s">
        <v>71</v>
      </c>
      <c r="K58" s="908" t="s">
        <v>86</v>
      </c>
      <c r="L58" s="909"/>
      <c r="M58" s="297"/>
      <c r="N58" s="925" t="s">
        <v>57</v>
      </c>
      <c r="O58" s="908" t="s">
        <v>1994</v>
      </c>
      <c r="P58" s="909"/>
      <c r="Q58" s="925" t="s">
        <v>80</v>
      </c>
      <c r="R58" s="914" t="s">
        <v>85</v>
      </c>
      <c r="S58" s="691"/>
      <c r="T58" s="914" t="s">
        <v>70</v>
      </c>
      <c r="U58" s="925" t="s">
        <v>81</v>
      </c>
      <c r="V58" s="914" t="s">
        <v>71</v>
      </c>
      <c r="W58" s="908" t="s">
        <v>86</v>
      </c>
      <c r="X58" s="909"/>
      <c r="Z58" s="925" t="s">
        <v>57</v>
      </c>
      <c r="AA58" s="908" t="s">
        <v>1994</v>
      </c>
      <c r="AB58" s="909"/>
      <c r="AC58" s="925" t="s">
        <v>80</v>
      </c>
      <c r="AD58" s="914" t="s">
        <v>85</v>
      </c>
      <c r="AE58" s="691"/>
      <c r="AF58" s="914" t="s">
        <v>70</v>
      </c>
      <c r="AG58" s="925" t="s">
        <v>81</v>
      </c>
      <c r="AH58" s="914" t="s">
        <v>71</v>
      </c>
      <c r="AI58" s="908" t="s">
        <v>86</v>
      </c>
      <c r="AJ58" s="909"/>
    </row>
    <row r="59" spans="1:36" s="679" customFormat="1" ht="15" customHeight="1">
      <c r="A59" s="302"/>
      <c r="B59" s="926"/>
      <c r="C59" s="928"/>
      <c r="D59" s="929"/>
      <c r="E59" s="926"/>
      <c r="F59" s="915"/>
      <c r="G59" s="692" t="s">
        <v>82</v>
      </c>
      <c r="H59" s="915"/>
      <c r="I59" s="926"/>
      <c r="J59" s="915"/>
      <c r="K59" s="928"/>
      <c r="L59" s="929"/>
      <c r="M59" s="297"/>
      <c r="N59" s="926"/>
      <c r="O59" s="928"/>
      <c r="P59" s="929"/>
      <c r="Q59" s="926"/>
      <c r="R59" s="915"/>
      <c r="S59" s="692" t="s">
        <v>82</v>
      </c>
      <c r="T59" s="915"/>
      <c r="U59" s="926"/>
      <c r="V59" s="915"/>
      <c r="W59" s="928"/>
      <c r="X59" s="929"/>
      <c r="Z59" s="926"/>
      <c r="AA59" s="928"/>
      <c r="AB59" s="929"/>
      <c r="AC59" s="926"/>
      <c r="AD59" s="915"/>
      <c r="AE59" s="692" t="s">
        <v>82</v>
      </c>
      <c r="AF59" s="915"/>
      <c r="AG59" s="926"/>
      <c r="AH59" s="915"/>
      <c r="AI59" s="928"/>
      <c r="AJ59" s="929"/>
    </row>
    <row r="60" spans="1:36" s="679" customFormat="1" ht="15" customHeight="1">
      <c r="A60" s="302"/>
      <c r="B60" s="926"/>
      <c r="C60" s="928"/>
      <c r="D60" s="929"/>
      <c r="E60" s="926"/>
      <c r="F60" s="922"/>
      <c r="G60" s="692" t="s">
        <v>83</v>
      </c>
      <c r="H60" s="915"/>
      <c r="I60" s="926"/>
      <c r="J60" s="915"/>
      <c r="K60" s="928"/>
      <c r="L60" s="929"/>
      <c r="M60" s="297"/>
      <c r="N60" s="926"/>
      <c r="O60" s="928"/>
      <c r="P60" s="929"/>
      <c r="Q60" s="926"/>
      <c r="R60" s="922"/>
      <c r="S60" s="692" t="s">
        <v>83</v>
      </c>
      <c r="T60" s="915"/>
      <c r="U60" s="926"/>
      <c r="V60" s="915"/>
      <c r="W60" s="928"/>
      <c r="X60" s="929"/>
      <c r="Z60" s="926"/>
      <c r="AA60" s="928"/>
      <c r="AB60" s="929"/>
      <c r="AC60" s="926"/>
      <c r="AD60" s="922"/>
      <c r="AE60" s="692" t="s">
        <v>83</v>
      </c>
      <c r="AF60" s="915"/>
      <c r="AG60" s="926"/>
      <c r="AH60" s="915"/>
      <c r="AI60" s="928"/>
      <c r="AJ60" s="929"/>
    </row>
    <row r="61" spans="1:36" s="679" customFormat="1" ht="15" customHeight="1">
      <c r="A61" s="302"/>
      <c r="B61" s="927"/>
      <c r="C61" s="910"/>
      <c r="D61" s="911"/>
      <c r="E61" s="927"/>
      <c r="F61" s="571" t="s">
        <v>73</v>
      </c>
      <c r="G61" s="693"/>
      <c r="H61" s="922"/>
      <c r="I61" s="927"/>
      <c r="J61" s="922"/>
      <c r="K61" s="545" t="s">
        <v>2085</v>
      </c>
      <c r="L61" s="545" t="s">
        <v>2086</v>
      </c>
      <c r="M61" s="297"/>
      <c r="N61" s="927"/>
      <c r="O61" s="910"/>
      <c r="P61" s="911"/>
      <c r="Q61" s="927"/>
      <c r="R61" s="571" t="s">
        <v>73</v>
      </c>
      <c r="S61" s="693"/>
      <c r="T61" s="922"/>
      <c r="U61" s="927"/>
      <c r="V61" s="922"/>
      <c r="W61" s="545" t="s">
        <v>2085</v>
      </c>
      <c r="X61" s="545" t="s">
        <v>2086</v>
      </c>
      <c r="Z61" s="927"/>
      <c r="AA61" s="910"/>
      <c r="AB61" s="911"/>
      <c r="AC61" s="927"/>
      <c r="AD61" s="571" t="s">
        <v>73</v>
      </c>
      <c r="AE61" s="693"/>
      <c r="AF61" s="922"/>
      <c r="AG61" s="927"/>
      <c r="AH61" s="922"/>
      <c r="AI61" s="545" t="s">
        <v>2085</v>
      </c>
      <c r="AJ61" s="545" t="s">
        <v>2086</v>
      </c>
    </row>
    <row r="62" spans="1:36" ht="15" customHeight="1">
      <c r="B62" s="618">
        <v>2</v>
      </c>
      <c r="C62" s="923" t="s">
        <v>1980</v>
      </c>
      <c r="D62" s="924"/>
      <c r="E62" s="664">
        <v>1200</v>
      </c>
      <c r="F62" s="572" t="s">
        <v>75</v>
      </c>
      <c r="G62" s="645">
        <f>IF(F62="Jah",LOOKUP(C62,'HT-Sõidukikütused (M1)'!$B$21:$B$37,'HT-Sõidukikütused (M1)'!$C$21:$C$37),IF(F62="Ei","x "))</f>
        <v>2.25884374011761</v>
      </c>
      <c r="H62" s="372"/>
      <c r="I62" s="289" t="str">
        <f t="shared" ref="I62:I71" si="9">IF(ISBLANK(C62),"",IF(RIGHT(C62,4)="(kg)","kg CO₂ ekv/kg",IF(RIGHT(C62,3)="(l)","kg CO₂ ekv/l")))</f>
        <v>kg CO₂ ekv/l</v>
      </c>
      <c r="J62" s="682" t="str">
        <f>IF(F62="Jah", LOOKUP(C62,'HT-Sõidukikütused (M1)'!$B$21:$B$37,'HT-Sõidukikütused (M1)'!$E$21:$E$37),IF(F62= "Ei", " "))</f>
        <v>KHG inventuuri aruanne 2022, kütteväärtus ~31,82 MJ/l</v>
      </c>
      <c r="K62" s="528">
        <f t="shared" ref="K62:K71" si="10">IF(F62="Jah",E62*(G62), IF(F62="Ei",H62*E62))</f>
        <v>2710.612488141132</v>
      </c>
      <c r="L62" s="528">
        <f>K62*0.001</f>
        <v>2.7106124881411322</v>
      </c>
      <c r="N62" s="618"/>
      <c r="O62" s="923"/>
      <c r="P62" s="924"/>
      <c r="Q62" s="664"/>
      <c r="R62" s="572" t="s">
        <v>75</v>
      </c>
      <c r="S62" s="645" t="e">
        <f>IF(R62="Jah",LOOKUP(O62,'HT-Sõidukikütused (M1)'!$B$21:$B$37,'HT-Sõidukikütused (M1)'!$C$21:$C$37),IF(R62="Ei","x "))</f>
        <v>#N/A</v>
      </c>
      <c r="T62" s="372"/>
      <c r="U62" s="289" t="str">
        <f t="shared" ref="U62:U71" si="11">IF(ISBLANK(O62),"",IF(RIGHT(O62,4)="(kg)","kg CO₂ ekv/kg",IF(RIGHT(O62,3)="(l)","kg CO₂ ekv/l")))</f>
        <v/>
      </c>
      <c r="V62" s="682" t="e">
        <f>IF(R62="Jah", LOOKUP(O62,'HT-Sõidukikütused (M1)'!$B$21:$B$37,'HT-Sõidukikütused (M1)'!$E$21:$E$37),IF(R62= "Ei", " "))</f>
        <v>#N/A</v>
      </c>
      <c r="W62" s="528" t="e">
        <f t="shared" ref="W62:W71" si="12">IF(R62="Jah",Q62*(S62), IF(R62="Ei",T62*Q62))</f>
        <v>#N/A</v>
      </c>
      <c r="X62" s="528" t="e">
        <f>W62*0.001</f>
        <v>#N/A</v>
      </c>
      <c r="Z62" s="618"/>
      <c r="AA62" s="923"/>
      <c r="AB62" s="924"/>
      <c r="AC62" s="664"/>
      <c r="AD62" s="572" t="s">
        <v>75</v>
      </c>
      <c r="AE62" s="645" t="e">
        <f>IF(AD62="Jah",LOOKUP(AA62,'HT-Sõidukikütused (M1)'!$B$21:$B$37,'HT-Sõidukikütused (M1)'!$C$21:$C$37),IF(AD62="Ei","x "))</f>
        <v>#N/A</v>
      </c>
      <c r="AF62" s="372"/>
      <c r="AG62" s="289" t="str">
        <f t="shared" ref="AG62:AG71" si="13">IF(ISBLANK(AA62),"",IF(RIGHT(AA62,4)="(kg)","kg CO₂ ekv/kg",IF(RIGHT(AA62,3)="(l)","kg CO₂ ekv/l")))</f>
        <v/>
      </c>
      <c r="AH62" s="682" t="e">
        <f>IF(AD62="Jah", LOOKUP(AA62,'HT-Sõidukikütused (M1)'!$B$21:$B$37,'HT-Sõidukikütused (M1)'!$E$21:$E$37),IF(AD62= "Ei", " "))</f>
        <v>#N/A</v>
      </c>
      <c r="AI62" s="528" t="e">
        <f t="shared" ref="AI62:AI71" si="14">IF(AD62="Jah",AC62*(AE62), IF(AD62="Ei",AF62*AC62))</f>
        <v>#N/A</v>
      </c>
      <c r="AJ62" s="528" t="e">
        <f>AI62*0.001</f>
        <v>#N/A</v>
      </c>
    </row>
    <row r="63" spans="1:36" ht="15" customHeight="1">
      <c r="B63" s="618">
        <v>2</v>
      </c>
      <c r="C63" s="923" t="s">
        <v>1987</v>
      </c>
      <c r="D63" s="924"/>
      <c r="E63" s="664">
        <v>2000</v>
      </c>
      <c r="F63" s="572" t="s">
        <v>78</v>
      </c>
      <c r="G63" s="645" t="str">
        <f>IF(F63="Jah",LOOKUP(C63,'HT-Sõidukikütused (M1)'!$B$21:$B$37,'HT-Sõidukikütused (M1)'!$C$21:$C$37),IF(F63="Ei","x "))</f>
        <v xml:space="preserve">x </v>
      </c>
      <c r="H63" s="372">
        <v>2.5</v>
      </c>
      <c r="I63" s="289" t="str">
        <f t="shared" si="9"/>
        <v>kg CO₂ ekv/l</v>
      </c>
      <c r="J63" s="682" t="str">
        <f>IF(F63="Jah", LOOKUP(C63,'HT-Sõidukikütused (M1)'!$B$21:$B$37,'HT-Sõidukikütused (M1)'!$E$21:$E$37),IF(F63= "Ei", " "))</f>
        <v xml:space="preserve"> </v>
      </c>
      <c r="K63" s="528">
        <f t="shared" si="10"/>
        <v>5000</v>
      </c>
      <c r="L63" s="528">
        <f t="shared" ref="L63:L71" si="15">K63*0.001</f>
        <v>5</v>
      </c>
      <c r="N63" s="618"/>
      <c r="O63" s="923"/>
      <c r="P63" s="924"/>
      <c r="Q63" s="664"/>
      <c r="R63" s="572" t="s">
        <v>75</v>
      </c>
      <c r="S63" s="645" t="e">
        <f>IF(R63="Jah",LOOKUP(O63,'HT-Sõidukikütused (M1)'!$B$21:$B$37,'HT-Sõidukikütused (M1)'!$C$21:$C$37),IF(R63="Ei","x "))</f>
        <v>#N/A</v>
      </c>
      <c r="T63" s="372"/>
      <c r="U63" s="289" t="str">
        <f t="shared" si="11"/>
        <v/>
      </c>
      <c r="V63" s="682" t="e">
        <f>IF(R63="Jah", LOOKUP(O63,'HT-Sõidukikütused (M1)'!$B$21:$B$37,'HT-Sõidukikütused (M1)'!$E$21:$E$37),IF(R63= "Ei", " "))</f>
        <v>#N/A</v>
      </c>
      <c r="W63" s="528" t="e">
        <f t="shared" si="12"/>
        <v>#N/A</v>
      </c>
      <c r="X63" s="528" t="e">
        <f t="shared" ref="X63:X71" si="16">W63*0.001</f>
        <v>#N/A</v>
      </c>
      <c r="Z63" s="618"/>
      <c r="AA63" s="923"/>
      <c r="AB63" s="924"/>
      <c r="AC63" s="664"/>
      <c r="AD63" s="572" t="s">
        <v>75</v>
      </c>
      <c r="AE63" s="645" t="e">
        <f>IF(AD63="Jah",LOOKUP(AA63,'HT-Sõidukikütused (M1)'!$B$21:$B$37,'HT-Sõidukikütused (M1)'!$C$21:$C$37),IF(AD63="Ei","x "))</f>
        <v>#N/A</v>
      </c>
      <c r="AF63" s="372"/>
      <c r="AG63" s="289" t="str">
        <f t="shared" si="13"/>
        <v/>
      </c>
      <c r="AH63" s="682" t="e">
        <f>IF(AD63="Jah", LOOKUP(AA63,'HT-Sõidukikütused (M1)'!$B$21:$B$37,'HT-Sõidukikütused (M1)'!$E$21:$E$37),IF(AD63= "Ei", " "))</f>
        <v>#N/A</v>
      </c>
      <c r="AI63" s="528" t="e">
        <f t="shared" si="14"/>
        <v>#N/A</v>
      </c>
      <c r="AJ63" s="528" t="e">
        <f t="shared" ref="AJ63:AJ71" si="17">AI63*0.001</f>
        <v>#N/A</v>
      </c>
    </row>
    <row r="64" spans="1:36" ht="15" customHeight="1">
      <c r="A64" s="297"/>
      <c r="B64" s="618"/>
      <c r="C64" s="923"/>
      <c r="D64" s="924"/>
      <c r="E64" s="664"/>
      <c r="F64" s="572" t="s">
        <v>75</v>
      </c>
      <c r="G64" s="645" t="e">
        <f>IF(F64="Jah",LOOKUP(C64,'HT-Sõidukikütused (M1)'!$B$21:$B$37,'HT-Sõidukikütused (M1)'!$C$21:$C$37),IF(F64="Ei","x "))</f>
        <v>#N/A</v>
      </c>
      <c r="H64" s="372"/>
      <c r="I64" s="289" t="str">
        <f t="shared" si="9"/>
        <v/>
      </c>
      <c r="J64" s="682" t="e">
        <f>IF(F64="Jah", LOOKUP(C64,'HT-Sõidukikütused (M1)'!$B$21:$B$37,'HT-Sõidukikütused (M1)'!$E$21:$E$37),IF(F64= "Ei", " "))</f>
        <v>#N/A</v>
      </c>
      <c r="K64" s="528" t="e">
        <f t="shared" si="10"/>
        <v>#N/A</v>
      </c>
      <c r="L64" s="528" t="e">
        <f t="shared" si="15"/>
        <v>#N/A</v>
      </c>
      <c r="N64" s="618"/>
      <c r="O64" s="923"/>
      <c r="P64" s="924"/>
      <c r="Q64" s="664"/>
      <c r="R64" s="572" t="s">
        <v>75</v>
      </c>
      <c r="S64" s="645" t="e">
        <f>IF(R64="Jah",LOOKUP(O64,'HT-Sõidukikütused (M1)'!$B$21:$B$37,'HT-Sõidukikütused (M1)'!$C$21:$C$37),IF(R64="Ei","x "))</f>
        <v>#N/A</v>
      </c>
      <c r="T64" s="372"/>
      <c r="U64" s="289" t="str">
        <f t="shared" si="11"/>
        <v/>
      </c>
      <c r="V64" s="682" t="e">
        <f>IF(R64="Jah", LOOKUP(O64,'HT-Sõidukikütused (M1)'!$B$21:$B$37,'HT-Sõidukikütused (M1)'!$E$21:$E$37),IF(R64= "Ei", " "))</f>
        <v>#N/A</v>
      </c>
      <c r="W64" s="528" t="e">
        <f t="shared" si="12"/>
        <v>#N/A</v>
      </c>
      <c r="X64" s="528" t="e">
        <f t="shared" si="16"/>
        <v>#N/A</v>
      </c>
      <c r="Z64" s="618"/>
      <c r="AA64" s="923"/>
      <c r="AB64" s="924"/>
      <c r="AC64" s="664"/>
      <c r="AD64" s="572" t="s">
        <v>75</v>
      </c>
      <c r="AE64" s="645" t="e">
        <f>IF(AD64="Jah",LOOKUP(AA64,'HT-Sõidukikütused (M1)'!$B$21:$B$37,'HT-Sõidukikütused (M1)'!$C$21:$C$37),IF(AD64="Ei","x "))</f>
        <v>#N/A</v>
      </c>
      <c r="AF64" s="372"/>
      <c r="AG64" s="289" t="str">
        <f t="shared" si="13"/>
        <v/>
      </c>
      <c r="AH64" s="682" t="e">
        <f>IF(AD64="Jah", LOOKUP(AA64,'HT-Sõidukikütused (M1)'!$B$21:$B$37,'HT-Sõidukikütused (M1)'!$E$21:$E$37),IF(AD64= "Ei", " "))</f>
        <v>#N/A</v>
      </c>
      <c r="AI64" s="528" t="e">
        <f t="shared" si="14"/>
        <v>#N/A</v>
      </c>
      <c r="AJ64" s="528" t="e">
        <f t="shared" si="17"/>
        <v>#N/A</v>
      </c>
    </row>
    <row r="65" spans="2:36" ht="15" customHeight="1">
      <c r="B65" s="618"/>
      <c r="C65" s="923"/>
      <c r="D65" s="924"/>
      <c r="E65" s="664"/>
      <c r="F65" s="572" t="s">
        <v>75</v>
      </c>
      <c r="G65" s="645" t="e">
        <f>IF(F65="Jah",LOOKUP(C65,'HT-Sõidukikütused (M1)'!$B$21:$B$37,'HT-Sõidukikütused (M1)'!$C$21:$C$37),IF(F65="Ei","x "))</f>
        <v>#N/A</v>
      </c>
      <c r="H65" s="372"/>
      <c r="I65" s="289" t="str">
        <f t="shared" si="9"/>
        <v/>
      </c>
      <c r="J65" s="682" t="e">
        <f>IF(F65="Jah", LOOKUP(C65,'HT-Sõidukikütused (M1)'!$B$21:$B$37,'HT-Sõidukikütused (M1)'!$E$21:$E$37),IF(F65= "Ei", " "))</f>
        <v>#N/A</v>
      </c>
      <c r="K65" s="528" t="e">
        <f t="shared" si="10"/>
        <v>#N/A</v>
      </c>
      <c r="L65" s="528" t="e">
        <f t="shared" si="15"/>
        <v>#N/A</v>
      </c>
      <c r="N65" s="618"/>
      <c r="O65" s="923"/>
      <c r="P65" s="924"/>
      <c r="Q65" s="664"/>
      <c r="R65" s="572" t="s">
        <v>75</v>
      </c>
      <c r="S65" s="645" t="e">
        <f>IF(R65="Jah",LOOKUP(O65,'HT-Sõidukikütused (M1)'!$B$21:$B$37,'HT-Sõidukikütused (M1)'!$C$21:$C$37),IF(R65="Ei","x "))</f>
        <v>#N/A</v>
      </c>
      <c r="T65" s="372"/>
      <c r="U65" s="289" t="str">
        <f t="shared" si="11"/>
        <v/>
      </c>
      <c r="V65" s="682" t="e">
        <f>IF(R65="Jah", LOOKUP(O65,'HT-Sõidukikütused (M1)'!$B$21:$B$37,'HT-Sõidukikütused (M1)'!$E$21:$E$37),IF(R65= "Ei", " "))</f>
        <v>#N/A</v>
      </c>
      <c r="W65" s="528" t="e">
        <f t="shared" si="12"/>
        <v>#N/A</v>
      </c>
      <c r="X65" s="528" t="e">
        <f t="shared" si="16"/>
        <v>#N/A</v>
      </c>
      <c r="Z65" s="618"/>
      <c r="AA65" s="923"/>
      <c r="AB65" s="924"/>
      <c r="AC65" s="664"/>
      <c r="AD65" s="572" t="s">
        <v>75</v>
      </c>
      <c r="AE65" s="645" t="e">
        <f>IF(AD65="Jah",LOOKUP(AA65,'HT-Sõidukikütused (M1)'!$B$21:$B$37,'HT-Sõidukikütused (M1)'!$C$21:$C$37),IF(AD65="Ei","x "))</f>
        <v>#N/A</v>
      </c>
      <c r="AF65" s="372"/>
      <c r="AG65" s="289" t="str">
        <f t="shared" si="13"/>
        <v/>
      </c>
      <c r="AH65" s="682" t="e">
        <f>IF(AD65="Jah", LOOKUP(AA65,'HT-Sõidukikütused (M1)'!$B$21:$B$37,'HT-Sõidukikütused (M1)'!$E$21:$E$37),IF(AD65= "Ei", " "))</f>
        <v>#N/A</v>
      </c>
      <c r="AI65" s="528" t="e">
        <f t="shared" si="14"/>
        <v>#N/A</v>
      </c>
      <c r="AJ65" s="528" t="e">
        <f t="shared" si="17"/>
        <v>#N/A</v>
      </c>
    </row>
    <row r="66" spans="2:36" ht="15" customHeight="1">
      <c r="B66" s="618"/>
      <c r="C66" s="923"/>
      <c r="D66" s="924"/>
      <c r="E66" s="664"/>
      <c r="F66" s="572" t="s">
        <v>75</v>
      </c>
      <c r="G66" s="645" t="e">
        <f>IF(F66="Jah",LOOKUP(C66,'HT-Sõidukikütused (M1)'!$B$21:$B$37,'HT-Sõidukikütused (M1)'!$C$21:$C$37),IF(F66="Ei","x "))</f>
        <v>#N/A</v>
      </c>
      <c r="H66" s="372"/>
      <c r="I66" s="289" t="str">
        <f t="shared" si="9"/>
        <v/>
      </c>
      <c r="J66" s="682" t="e">
        <f>IF(F66="Jah", LOOKUP(C66,'HT-Sõidukikütused (M1)'!$B$21:$B$37,'HT-Sõidukikütused (M1)'!$E$21:$E$37),IF(F66= "Ei", " "))</f>
        <v>#N/A</v>
      </c>
      <c r="K66" s="528" t="e">
        <f t="shared" si="10"/>
        <v>#N/A</v>
      </c>
      <c r="L66" s="528" t="e">
        <f t="shared" si="15"/>
        <v>#N/A</v>
      </c>
      <c r="N66" s="618"/>
      <c r="O66" s="923"/>
      <c r="P66" s="924"/>
      <c r="Q66" s="664"/>
      <c r="R66" s="572" t="s">
        <v>75</v>
      </c>
      <c r="S66" s="645" t="e">
        <f>IF(R66="Jah",LOOKUP(O66,'HT-Sõidukikütused (M1)'!$B$21:$B$37,'HT-Sõidukikütused (M1)'!$C$21:$C$37),IF(R66="Ei","x "))</f>
        <v>#N/A</v>
      </c>
      <c r="T66" s="372"/>
      <c r="U66" s="289" t="str">
        <f t="shared" si="11"/>
        <v/>
      </c>
      <c r="V66" s="682" t="e">
        <f>IF(R66="Jah", LOOKUP(O66,'HT-Sõidukikütused (M1)'!$B$21:$B$37,'HT-Sõidukikütused (M1)'!$E$21:$E$37),IF(R66= "Ei", " "))</f>
        <v>#N/A</v>
      </c>
      <c r="W66" s="528" t="e">
        <f t="shared" si="12"/>
        <v>#N/A</v>
      </c>
      <c r="X66" s="528" t="e">
        <f t="shared" si="16"/>
        <v>#N/A</v>
      </c>
      <c r="Z66" s="618"/>
      <c r="AA66" s="923"/>
      <c r="AB66" s="924"/>
      <c r="AC66" s="664"/>
      <c r="AD66" s="572" t="s">
        <v>75</v>
      </c>
      <c r="AE66" s="645" t="e">
        <f>IF(AD66="Jah",LOOKUP(AA66,'HT-Sõidukikütused (M1)'!$B$21:$B$37,'HT-Sõidukikütused (M1)'!$C$21:$C$37),IF(AD66="Ei","x "))</f>
        <v>#N/A</v>
      </c>
      <c r="AF66" s="372"/>
      <c r="AG66" s="289" t="str">
        <f t="shared" si="13"/>
        <v/>
      </c>
      <c r="AH66" s="682" t="e">
        <f>IF(AD66="Jah", LOOKUP(AA66,'HT-Sõidukikütused (M1)'!$B$21:$B$37,'HT-Sõidukikütused (M1)'!$E$21:$E$37),IF(AD66= "Ei", " "))</f>
        <v>#N/A</v>
      </c>
      <c r="AI66" s="528" t="e">
        <f t="shared" si="14"/>
        <v>#N/A</v>
      </c>
      <c r="AJ66" s="528" t="e">
        <f t="shared" si="17"/>
        <v>#N/A</v>
      </c>
    </row>
    <row r="67" spans="2:36" ht="15" customHeight="1">
      <c r="B67" s="618"/>
      <c r="C67" s="923"/>
      <c r="D67" s="924"/>
      <c r="E67" s="664"/>
      <c r="F67" s="572" t="s">
        <v>75</v>
      </c>
      <c r="G67" s="645" t="e">
        <f>IF(F67="Jah",LOOKUP(C67,'HT-Sõidukikütused (M1)'!$B$21:$B$37,'HT-Sõidukikütused (M1)'!$C$21:$C$37),IF(F67="Ei","x "))</f>
        <v>#N/A</v>
      </c>
      <c r="H67" s="372"/>
      <c r="I67" s="289" t="str">
        <f t="shared" si="9"/>
        <v/>
      </c>
      <c r="J67" s="682" t="e">
        <f>IF(F67="Jah", LOOKUP(C67,'HT-Sõidukikütused (M1)'!$B$21:$B$37,'HT-Sõidukikütused (M1)'!$E$21:$E$37),IF(F67= "Ei", " "))</f>
        <v>#N/A</v>
      </c>
      <c r="K67" s="528" t="e">
        <f t="shared" si="10"/>
        <v>#N/A</v>
      </c>
      <c r="L67" s="528" t="e">
        <f t="shared" si="15"/>
        <v>#N/A</v>
      </c>
      <c r="N67" s="618"/>
      <c r="O67" s="923"/>
      <c r="P67" s="924"/>
      <c r="Q67" s="664"/>
      <c r="R67" s="572" t="s">
        <v>75</v>
      </c>
      <c r="S67" s="645" t="e">
        <f>IF(R67="Jah",LOOKUP(O67,'HT-Sõidukikütused (M1)'!$B$21:$B$37,'HT-Sõidukikütused (M1)'!$C$21:$C$37),IF(R67="Ei","x "))</f>
        <v>#N/A</v>
      </c>
      <c r="T67" s="372"/>
      <c r="U67" s="289" t="str">
        <f t="shared" si="11"/>
        <v/>
      </c>
      <c r="V67" s="682" t="e">
        <f>IF(R67="Jah", LOOKUP(O67,'HT-Sõidukikütused (M1)'!$B$21:$B$37,'HT-Sõidukikütused (M1)'!$E$21:$E$37),IF(R67= "Ei", " "))</f>
        <v>#N/A</v>
      </c>
      <c r="W67" s="528" t="e">
        <f t="shared" si="12"/>
        <v>#N/A</v>
      </c>
      <c r="X67" s="528" t="e">
        <f t="shared" si="16"/>
        <v>#N/A</v>
      </c>
      <c r="Z67" s="618"/>
      <c r="AA67" s="923"/>
      <c r="AB67" s="924"/>
      <c r="AC67" s="664"/>
      <c r="AD67" s="572" t="s">
        <v>75</v>
      </c>
      <c r="AE67" s="645" t="e">
        <f>IF(AD67="Jah",LOOKUP(AA67,'HT-Sõidukikütused (M1)'!$B$21:$B$37,'HT-Sõidukikütused (M1)'!$C$21:$C$37),IF(AD67="Ei","x "))</f>
        <v>#N/A</v>
      </c>
      <c r="AF67" s="372"/>
      <c r="AG67" s="289" t="str">
        <f t="shared" si="13"/>
        <v/>
      </c>
      <c r="AH67" s="682" t="e">
        <f>IF(AD67="Jah", LOOKUP(AA67,'HT-Sõidukikütused (M1)'!$B$21:$B$37,'HT-Sõidukikütused (M1)'!$E$21:$E$37),IF(AD67= "Ei", " "))</f>
        <v>#N/A</v>
      </c>
      <c r="AI67" s="528" t="e">
        <f t="shared" si="14"/>
        <v>#N/A</v>
      </c>
      <c r="AJ67" s="528" t="e">
        <f t="shared" si="17"/>
        <v>#N/A</v>
      </c>
    </row>
    <row r="68" spans="2:36" ht="15" customHeight="1">
      <c r="B68" s="618"/>
      <c r="C68" s="923"/>
      <c r="D68" s="924"/>
      <c r="E68" s="664"/>
      <c r="F68" s="572" t="s">
        <v>75</v>
      </c>
      <c r="G68" s="645" t="e">
        <f>IF(F68="Jah",LOOKUP(C68,'HT-Sõidukikütused (M1)'!$B$21:$B$37,'HT-Sõidukikütused (M1)'!$C$21:$C$37),IF(F68="Ei","x "))</f>
        <v>#N/A</v>
      </c>
      <c r="H68" s="372"/>
      <c r="I68" s="289" t="str">
        <f t="shared" si="9"/>
        <v/>
      </c>
      <c r="J68" s="682" t="e">
        <f>IF(F68="Jah", LOOKUP(C68,'HT-Sõidukikütused (M1)'!$B$21:$B$37,'HT-Sõidukikütused (M1)'!$E$21:$E$37),IF(F68= "Ei", " "))</f>
        <v>#N/A</v>
      </c>
      <c r="K68" s="528" t="e">
        <f t="shared" si="10"/>
        <v>#N/A</v>
      </c>
      <c r="L68" s="528" t="e">
        <f t="shared" si="15"/>
        <v>#N/A</v>
      </c>
      <c r="N68" s="618"/>
      <c r="O68" s="923"/>
      <c r="P68" s="924"/>
      <c r="Q68" s="664"/>
      <c r="R68" s="572" t="s">
        <v>75</v>
      </c>
      <c r="S68" s="645" t="e">
        <f>IF(R68="Jah",LOOKUP(O68,'HT-Sõidukikütused (M1)'!$B$21:$B$37,'HT-Sõidukikütused (M1)'!$C$21:$C$37),IF(R68="Ei","x "))</f>
        <v>#N/A</v>
      </c>
      <c r="T68" s="372"/>
      <c r="U68" s="289" t="str">
        <f t="shared" si="11"/>
        <v/>
      </c>
      <c r="V68" s="682" t="e">
        <f>IF(R68="Jah", LOOKUP(O68,'HT-Sõidukikütused (M1)'!$B$21:$B$37,'HT-Sõidukikütused (M1)'!$E$21:$E$37),IF(R68= "Ei", " "))</f>
        <v>#N/A</v>
      </c>
      <c r="W68" s="528" t="e">
        <f t="shared" si="12"/>
        <v>#N/A</v>
      </c>
      <c r="X68" s="528" t="e">
        <f t="shared" si="16"/>
        <v>#N/A</v>
      </c>
      <c r="Z68" s="618"/>
      <c r="AA68" s="923"/>
      <c r="AB68" s="924"/>
      <c r="AC68" s="664"/>
      <c r="AD68" s="572" t="s">
        <v>75</v>
      </c>
      <c r="AE68" s="645" t="e">
        <f>IF(AD68="Jah",LOOKUP(AA68,'HT-Sõidukikütused (M1)'!$B$21:$B$37,'HT-Sõidukikütused (M1)'!$C$21:$C$37),IF(AD68="Ei","x "))</f>
        <v>#N/A</v>
      </c>
      <c r="AF68" s="372"/>
      <c r="AG68" s="289" t="str">
        <f t="shared" si="13"/>
        <v/>
      </c>
      <c r="AH68" s="682" t="e">
        <f>IF(AD68="Jah", LOOKUP(AA68,'HT-Sõidukikütused (M1)'!$B$21:$B$37,'HT-Sõidukikütused (M1)'!$E$21:$E$37),IF(AD68= "Ei", " "))</f>
        <v>#N/A</v>
      </c>
      <c r="AI68" s="528" t="e">
        <f t="shared" si="14"/>
        <v>#N/A</v>
      </c>
      <c r="AJ68" s="528" t="e">
        <f t="shared" si="17"/>
        <v>#N/A</v>
      </c>
    </row>
    <row r="69" spans="2:36" ht="15" customHeight="1">
      <c r="B69" s="618"/>
      <c r="C69" s="923"/>
      <c r="D69" s="924"/>
      <c r="E69" s="664"/>
      <c r="F69" s="572" t="s">
        <v>75</v>
      </c>
      <c r="G69" s="645" t="e">
        <f>IF(F69="Jah",LOOKUP(C69,'HT-Sõidukikütused (M1)'!$B$21:$B$37,'HT-Sõidukikütused (M1)'!$C$21:$C$37),IF(F69="Ei","x "))</f>
        <v>#N/A</v>
      </c>
      <c r="H69" s="372"/>
      <c r="I69" s="289" t="str">
        <f t="shared" si="9"/>
        <v/>
      </c>
      <c r="J69" s="682" t="e">
        <f>IF(F69="Jah", LOOKUP(C69,'HT-Sõidukikütused (M1)'!$B$21:$B$37,'HT-Sõidukikütused (M1)'!$E$21:$E$37),IF(F69= "Ei", " "))</f>
        <v>#N/A</v>
      </c>
      <c r="K69" s="528" t="e">
        <f t="shared" si="10"/>
        <v>#N/A</v>
      </c>
      <c r="L69" s="528" t="e">
        <f t="shared" si="15"/>
        <v>#N/A</v>
      </c>
      <c r="N69" s="618"/>
      <c r="O69" s="923"/>
      <c r="P69" s="924"/>
      <c r="Q69" s="664"/>
      <c r="R69" s="572" t="s">
        <v>75</v>
      </c>
      <c r="S69" s="645" t="e">
        <f>IF(R69="Jah",LOOKUP(O69,'HT-Sõidukikütused (M1)'!$B$21:$B$37,'HT-Sõidukikütused (M1)'!$C$21:$C$37),IF(R69="Ei","x "))</f>
        <v>#N/A</v>
      </c>
      <c r="T69" s="372"/>
      <c r="U69" s="289" t="str">
        <f t="shared" si="11"/>
        <v/>
      </c>
      <c r="V69" s="682" t="e">
        <f>IF(R69="Jah", LOOKUP(O69,'HT-Sõidukikütused (M1)'!$B$21:$B$37,'HT-Sõidukikütused (M1)'!$E$21:$E$37),IF(R69= "Ei", " "))</f>
        <v>#N/A</v>
      </c>
      <c r="W69" s="528" t="e">
        <f t="shared" si="12"/>
        <v>#N/A</v>
      </c>
      <c r="X69" s="528" t="e">
        <f t="shared" si="16"/>
        <v>#N/A</v>
      </c>
      <c r="Z69" s="618"/>
      <c r="AA69" s="923"/>
      <c r="AB69" s="924"/>
      <c r="AC69" s="664"/>
      <c r="AD69" s="572" t="s">
        <v>75</v>
      </c>
      <c r="AE69" s="645" t="e">
        <f>IF(AD69="Jah",LOOKUP(AA69,'HT-Sõidukikütused (M1)'!$B$21:$B$37,'HT-Sõidukikütused (M1)'!$C$21:$C$37),IF(AD69="Ei","x "))</f>
        <v>#N/A</v>
      </c>
      <c r="AF69" s="372"/>
      <c r="AG69" s="289" t="str">
        <f t="shared" si="13"/>
        <v/>
      </c>
      <c r="AH69" s="682" t="e">
        <f>IF(AD69="Jah", LOOKUP(AA69,'HT-Sõidukikütused (M1)'!$B$21:$B$37,'HT-Sõidukikütused (M1)'!$E$21:$E$37),IF(AD69= "Ei", " "))</f>
        <v>#N/A</v>
      </c>
      <c r="AI69" s="528" t="e">
        <f t="shared" si="14"/>
        <v>#N/A</v>
      </c>
      <c r="AJ69" s="528" t="e">
        <f t="shared" si="17"/>
        <v>#N/A</v>
      </c>
    </row>
    <row r="70" spans="2:36" ht="15" customHeight="1">
      <c r="B70" s="618"/>
      <c r="C70" s="923"/>
      <c r="D70" s="924"/>
      <c r="E70" s="664"/>
      <c r="F70" s="572" t="s">
        <v>75</v>
      </c>
      <c r="G70" s="645" t="e">
        <f>IF(F70="Jah",LOOKUP(C70,'HT-Sõidukikütused (M1)'!$B$21:$B$37,'HT-Sõidukikütused (M1)'!$C$21:$C$37),IF(F70="Ei","x "))</f>
        <v>#N/A</v>
      </c>
      <c r="H70" s="372"/>
      <c r="I70" s="289" t="str">
        <f t="shared" si="9"/>
        <v/>
      </c>
      <c r="J70" s="682" t="e">
        <f>IF(F70="Jah", LOOKUP(C70,'HT-Sõidukikütused (M1)'!$B$21:$B$37,'HT-Sõidukikütused (M1)'!$E$21:$E$37),IF(F70= "Ei", " "))</f>
        <v>#N/A</v>
      </c>
      <c r="K70" s="528" t="e">
        <f t="shared" si="10"/>
        <v>#N/A</v>
      </c>
      <c r="L70" s="528" t="e">
        <f t="shared" si="15"/>
        <v>#N/A</v>
      </c>
      <c r="N70" s="618"/>
      <c r="O70" s="923"/>
      <c r="P70" s="924"/>
      <c r="Q70" s="664"/>
      <c r="R70" s="572" t="s">
        <v>75</v>
      </c>
      <c r="S70" s="645" t="e">
        <f>IF(R70="Jah",LOOKUP(O70,'HT-Sõidukikütused (M1)'!$B$21:$B$37,'HT-Sõidukikütused (M1)'!$C$21:$C$37),IF(R70="Ei","x "))</f>
        <v>#N/A</v>
      </c>
      <c r="T70" s="372"/>
      <c r="U70" s="289" t="str">
        <f t="shared" si="11"/>
        <v/>
      </c>
      <c r="V70" s="682" t="e">
        <f>IF(R70="Jah", LOOKUP(O70,'HT-Sõidukikütused (M1)'!$B$21:$B$37,'HT-Sõidukikütused (M1)'!$E$21:$E$37),IF(R70= "Ei", " "))</f>
        <v>#N/A</v>
      </c>
      <c r="W70" s="528" t="e">
        <f t="shared" si="12"/>
        <v>#N/A</v>
      </c>
      <c r="X70" s="528" t="e">
        <f t="shared" si="16"/>
        <v>#N/A</v>
      </c>
      <c r="Z70" s="618"/>
      <c r="AA70" s="923"/>
      <c r="AB70" s="924"/>
      <c r="AC70" s="664"/>
      <c r="AD70" s="572" t="s">
        <v>75</v>
      </c>
      <c r="AE70" s="645" t="e">
        <f>IF(AD70="Jah",LOOKUP(AA70,'HT-Sõidukikütused (M1)'!$B$21:$B$37,'HT-Sõidukikütused (M1)'!$C$21:$C$37),IF(AD70="Ei","x "))</f>
        <v>#N/A</v>
      </c>
      <c r="AF70" s="372"/>
      <c r="AG70" s="289" t="str">
        <f t="shared" si="13"/>
        <v/>
      </c>
      <c r="AH70" s="682" t="e">
        <f>IF(AD70="Jah", LOOKUP(AA70,'HT-Sõidukikütused (M1)'!$B$21:$B$37,'HT-Sõidukikütused (M1)'!$E$21:$E$37),IF(AD70= "Ei", " "))</f>
        <v>#N/A</v>
      </c>
      <c r="AI70" s="528" t="e">
        <f t="shared" si="14"/>
        <v>#N/A</v>
      </c>
      <c r="AJ70" s="528" t="e">
        <f t="shared" si="17"/>
        <v>#N/A</v>
      </c>
    </row>
    <row r="71" spans="2:36" ht="15" customHeight="1">
      <c r="B71" s="618"/>
      <c r="C71" s="923"/>
      <c r="D71" s="924"/>
      <c r="E71" s="664"/>
      <c r="F71" s="572" t="s">
        <v>75</v>
      </c>
      <c r="G71" s="645" t="e">
        <f>IF(F71="Jah",LOOKUP(C71,'HT-Sõidukikütused (M1)'!$B$21:$B$37,'HT-Sõidukikütused (M1)'!$C$21:$C$37),IF(F71="Ei","x "))</f>
        <v>#N/A</v>
      </c>
      <c r="H71" s="372"/>
      <c r="I71" s="289" t="str">
        <f t="shared" si="9"/>
        <v/>
      </c>
      <c r="J71" s="682" t="e">
        <f>IF(F71="Jah", LOOKUP(C71,'HT-Sõidukikütused (M1)'!$B$21:$B$37,'HT-Sõidukikütused (M1)'!$E$21:$E$37),IF(F71= "Ei", " "))</f>
        <v>#N/A</v>
      </c>
      <c r="K71" s="528" t="e">
        <f t="shared" si="10"/>
        <v>#N/A</v>
      </c>
      <c r="L71" s="528" t="e">
        <f t="shared" si="15"/>
        <v>#N/A</v>
      </c>
      <c r="N71" s="618"/>
      <c r="O71" s="923"/>
      <c r="P71" s="924"/>
      <c r="Q71" s="664"/>
      <c r="R71" s="572" t="s">
        <v>75</v>
      </c>
      <c r="S71" s="645" t="e">
        <f>IF(R71="Jah",LOOKUP(O71,'HT-Sõidukikütused (M1)'!$B$21:$B$37,'HT-Sõidukikütused (M1)'!$C$21:$C$37),IF(R71="Ei","x "))</f>
        <v>#N/A</v>
      </c>
      <c r="T71" s="372"/>
      <c r="U71" s="289" t="str">
        <f t="shared" si="11"/>
        <v/>
      </c>
      <c r="V71" s="682" t="e">
        <f>IF(R71="Jah", LOOKUP(O71,'HT-Sõidukikütused (M1)'!$B$21:$B$37,'HT-Sõidukikütused (M1)'!$E$21:$E$37),IF(R71= "Ei", " "))</f>
        <v>#N/A</v>
      </c>
      <c r="W71" s="528" t="e">
        <f t="shared" si="12"/>
        <v>#N/A</v>
      </c>
      <c r="X71" s="528" t="e">
        <f t="shared" si="16"/>
        <v>#N/A</v>
      </c>
      <c r="Z71" s="618"/>
      <c r="AA71" s="923"/>
      <c r="AB71" s="924"/>
      <c r="AC71" s="664"/>
      <c r="AD71" s="572" t="s">
        <v>75</v>
      </c>
      <c r="AE71" s="645" t="e">
        <f>IF(AD71="Jah",LOOKUP(AA71,'HT-Sõidukikütused (M1)'!$B$21:$B$37,'HT-Sõidukikütused (M1)'!$C$21:$C$37),IF(AD71="Ei","x "))</f>
        <v>#N/A</v>
      </c>
      <c r="AF71" s="372"/>
      <c r="AG71" s="289" t="str">
        <f t="shared" si="13"/>
        <v/>
      </c>
      <c r="AH71" s="682" t="e">
        <f>IF(AD71="Jah", LOOKUP(AA71,'HT-Sõidukikütused (M1)'!$B$21:$B$37,'HT-Sõidukikütused (M1)'!$E$21:$E$37),IF(AD71= "Ei", " "))</f>
        <v>#N/A</v>
      </c>
      <c r="AI71" s="528" t="e">
        <f t="shared" si="14"/>
        <v>#N/A</v>
      </c>
      <c r="AJ71" s="528" t="e">
        <f t="shared" si="17"/>
        <v>#N/A</v>
      </c>
    </row>
    <row r="72" spans="2:36" ht="15" customHeight="1">
      <c r="B72" s="536"/>
      <c r="C72" s="537"/>
      <c r="D72" s="537"/>
      <c r="E72" s="537"/>
      <c r="F72" s="537"/>
      <c r="G72" s="537"/>
      <c r="H72" s="537"/>
      <c r="I72" s="537"/>
      <c r="J72" s="592" t="s">
        <v>1592</v>
      </c>
      <c r="K72" s="594">
        <f>SUMIF(K62:K71,"&lt;&gt;#N/A")</f>
        <v>7710.6124881411324</v>
      </c>
      <c r="L72" s="594">
        <f>SUMIF(L62:L71,"&lt;&gt;#N/A")</f>
        <v>7.7106124881411322</v>
      </c>
      <c r="N72" s="536"/>
      <c r="O72" s="537"/>
      <c r="P72" s="537"/>
      <c r="Q72" s="537"/>
      <c r="R72" s="537"/>
      <c r="S72" s="537"/>
      <c r="T72" s="537"/>
      <c r="U72" s="537"/>
      <c r="V72" s="592" t="s">
        <v>1592</v>
      </c>
      <c r="W72" s="594">
        <f>SUMIF(W62:W71,"&lt;&gt;#N/A")</f>
        <v>0</v>
      </c>
      <c r="X72" s="594">
        <f>SUMIF(X62:X71,"&lt;&gt;#N/A")</f>
        <v>0</v>
      </c>
      <c r="Z72" s="536"/>
      <c r="AA72" s="537"/>
      <c r="AB72" s="537"/>
      <c r="AC72" s="537"/>
      <c r="AD72" s="537"/>
      <c r="AE72" s="537"/>
      <c r="AF72" s="537"/>
      <c r="AG72" s="537"/>
      <c r="AH72" s="592" t="s">
        <v>1592</v>
      </c>
      <c r="AI72" s="594">
        <f>SUMIF(AI62:AI71,"&lt;&gt;#N/A")</f>
        <v>0</v>
      </c>
      <c r="AJ72" s="594">
        <f>SUMIF(AJ62:AJ71,"&lt;&gt;#N/A")</f>
        <v>0</v>
      </c>
    </row>
    <row r="73" spans="2:36" s="297" customFormat="1" ht="15" customHeight="1"/>
    <row r="74" spans="2:36" s="297" customFormat="1" ht="15" customHeight="1"/>
    <row r="75" spans="2:36" ht="15" customHeight="1">
      <c r="B75" s="308" t="s">
        <v>2267</v>
      </c>
      <c r="C75" s="543"/>
      <c r="D75" s="543"/>
      <c r="E75" s="543"/>
      <c r="F75" s="543"/>
      <c r="G75" s="543"/>
      <c r="H75" s="543"/>
      <c r="I75" s="543"/>
      <c r="J75" s="543"/>
      <c r="K75" s="543"/>
      <c r="L75" s="544"/>
      <c r="N75" s="308" t="s">
        <v>1625</v>
      </c>
      <c r="O75" s="543"/>
      <c r="P75" s="543"/>
      <c r="Q75" s="543"/>
      <c r="R75" s="543"/>
      <c r="S75" s="543"/>
      <c r="T75" s="543"/>
      <c r="U75" s="543"/>
      <c r="V75" s="543"/>
      <c r="W75" s="543"/>
      <c r="X75" s="544"/>
      <c r="Z75" s="308" t="s">
        <v>1625</v>
      </c>
      <c r="AA75" s="543"/>
      <c r="AB75" s="543"/>
      <c r="AC75" s="543"/>
      <c r="AD75" s="543"/>
      <c r="AE75" s="543"/>
      <c r="AF75" s="543"/>
      <c r="AG75" s="543"/>
      <c r="AH75" s="543"/>
      <c r="AI75" s="543"/>
      <c r="AJ75" s="544"/>
    </row>
    <row r="76" spans="2:36" s="297" customFormat="1" ht="15" customHeight="1">
      <c r="B76" s="925" t="s">
        <v>57</v>
      </c>
      <c r="C76" s="914" t="s">
        <v>2262</v>
      </c>
      <c r="D76" s="914"/>
      <c r="E76" s="925" t="s">
        <v>91</v>
      </c>
      <c r="F76" s="914" t="s">
        <v>85</v>
      </c>
      <c r="G76" s="691"/>
      <c r="H76" s="914" t="s">
        <v>70</v>
      </c>
      <c r="I76" s="925" t="s">
        <v>81</v>
      </c>
      <c r="J76" s="914" t="s">
        <v>71</v>
      </c>
      <c r="K76" s="908" t="s">
        <v>86</v>
      </c>
      <c r="L76" s="909"/>
      <c r="N76" s="925" t="s">
        <v>57</v>
      </c>
      <c r="O76" s="914" t="s">
        <v>2262</v>
      </c>
      <c r="P76" s="914"/>
      <c r="Q76" s="925" t="s">
        <v>91</v>
      </c>
      <c r="R76" s="914" t="s">
        <v>85</v>
      </c>
      <c r="S76" s="691"/>
      <c r="T76" s="914" t="s">
        <v>70</v>
      </c>
      <c r="U76" s="925" t="s">
        <v>81</v>
      </c>
      <c r="V76" s="914" t="s">
        <v>71</v>
      </c>
      <c r="W76" s="908" t="s">
        <v>86</v>
      </c>
      <c r="X76" s="909"/>
      <c r="Z76" s="925" t="s">
        <v>57</v>
      </c>
      <c r="AA76" s="914" t="s">
        <v>2262</v>
      </c>
      <c r="AB76" s="914"/>
      <c r="AC76" s="925" t="s">
        <v>91</v>
      </c>
      <c r="AD76" s="914" t="s">
        <v>85</v>
      </c>
      <c r="AE76" s="691"/>
      <c r="AF76" s="914" t="s">
        <v>70</v>
      </c>
      <c r="AG76" s="925" t="s">
        <v>81</v>
      </c>
      <c r="AH76" s="914" t="s">
        <v>71</v>
      </c>
      <c r="AI76" s="908" t="s">
        <v>86</v>
      </c>
      <c r="AJ76" s="909"/>
    </row>
    <row r="77" spans="2:36" s="297" customFormat="1" ht="15" customHeight="1">
      <c r="B77" s="926"/>
      <c r="C77" s="915"/>
      <c r="D77" s="915"/>
      <c r="E77" s="926"/>
      <c r="F77" s="915"/>
      <c r="G77" s="692" t="s">
        <v>82</v>
      </c>
      <c r="H77" s="915"/>
      <c r="I77" s="926"/>
      <c r="J77" s="915"/>
      <c r="K77" s="928"/>
      <c r="L77" s="929"/>
      <c r="N77" s="926"/>
      <c r="O77" s="915"/>
      <c r="P77" s="915"/>
      <c r="Q77" s="926"/>
      <c r="R77" s="915"/>
      <c r="S77" s="692" t="s">
        <v>82</v>
      </c>
      <c r="T77" s="915"/>
      <c r="U77" s="926"/>
      <c r="V77" s="915"/>
      <c r="W77" s="928"/>
      <c r="X77" s="929"/>
      <c r="Z77" s="926"/>
      <c r="AA77" s="915"/>
      <c r="AB77" s="915"/>
      <c r="AC77" s="926"/>
      <c r="AD77" s="915"/>
      <c r="AE77" s="692" t="s">
        <v>82</v>
      </c>
      <c r="AF77" s="915"/>
      <c r="AG77" s="926"/>
      <c r="AH77" s="915"/>
      <c r="AI77" s="928"/>
      <c r="AJ77" s="929"/>
    </row>
    <row r="78" spans="2:36" s="297" customFormat="1" ht="15" customHeight="1">
      <c r="B78" s="926"/>
      <c r="C78" s="915"/>
      <c r="D78" s="915"/>
      <c r="E78" s="926"/>
      <c r="F78" s="922"/>
      <c r="G78" s="692" t="s">
        <v>83</v>
      </c>
      <c r="H78" s="915"/>
      <c r="I78" s="926"/>
      <c r="J78" s="915"/>
      <c r="K78" s="910"/>
      <c r="L78" s="911"/>
      <c r="N78" s="926"/>
      <c r="O78" s="915"/>
      <c r="P78" s="915"/>
      <c r="Q78" s="926"/>
      <c r="R78" s="922"/>
      <c r="S78" s="692" t="s">
        <v>83</v>
      </c>
      <c r="T78" s="915"/>
      <c r="U78" s="926"/>
      <c r="V78" s="915"/>
      <c r="W78" s="910"/>
      <c r="X78" s="911"/>
      <c r="Z78" s="926"/>
      <c r="AA78" s="915"/>
      <c r="AB78" s="915"/>
      <c r="AC78" s="926"/>
      <c r="AD78" s="922"/>
      <c r="AE78" s="692" t="s">
        <v>83</v>
      </c>
      <c r="AF78" s="915"/>
      <c r="AG78" s="926"/>
      <c r="AH78" s="915"/>
      <c r="AI78" s="910"/>
      <c r="AJ78" s="911"/>
    </row>
    <row r="79" spans="2:36" s="297" customFormat="1" ht="15" customHeight="1">
      <c r="B79" s="927"/>
      <c r="C79" s="922"/>
      <c r="D79" s="922"/>
      <c r="E79" s="927"/>
      <c r="F79" s="571" t="s">
        <v>73</v>
      </c>
      <c r="G79" s="693"/>
      <c r="H79" s="922"/>
      <c r="I79" s="927"/>
      <c r="J79" s="922"/>
      <c r="K79" s="545" t="s">
        <v>2085</v>
      </c>
      <c r="L79" s="545" t="s">
        <v>2086</v>
      </c>
      <c r="N79" s="927"/>
      <c r="O79" s="922"/>
      <c r="P79" s="922"/>
      <c r="Q79" s="927"/>
      <c r="R79" s="571" t="s">
        <v>73</v>
      </c>
      <c r="S79" s="693"/>
      <c r="T79" s="922"/>
      <c r="U79" s="927"/>
      <c r="V79" s="922"/>
      <c r="W79" s="545" t="s">
        <v>2085</v>
      </c>
      <c r="X79" s="545" t="s">
        <v>2086</v>
      </c>
      <c r="Z79" s="927"/>
      <c r="AA79" s="922"/>
      <c r="AB79" s="922"/>
      <c r="AC79" s="927"/>
      <c r="AD79" s="571" t="s">
        <v>73</v>
      </c>
      <c r="AE79" s="693"/>
      <c r="AF79" s="922"/>
      <c r="AG79" s="927"/>
      <c r="AH79" s="922"/>
      <c r="AI79" s="545" t="s">
        <v>2085</v>
      </c>
      <c r="AJ79" s="545" t="s">
        <v>2086</v>
      </c>
    </row>
    <row r="80" spans="2:36" s="297" customFormat="1" ht="15" customHeight="1">
      <c r="B80" s="618">
        <v>3</v>
      </c>
      <c r="C80" s="923" t="s">
        <v>1705</v>
      </c>
      <c r="D80" s="924"/>
      <c r="E80" s="664">
        <v>20000</v>
      </c>
      <c r="F80" s="572" t="s">
        <v>75</v>
      </c>
      <c r="G80" s="645">
        <f>IF(F80="Jah",LOOKUP(C80,'HT-Sõidukikütused (M1)'!$B$42:$B$60,'HT-Sõidukikütused (M1)'!$C$42:$C$60),IF(F80="Ei","x "))</f>
        <v>0.18053987907914804</v>
      </c>
      <c r="H80" s="694"/>
      <c r="I80" s="695" t="s">
        <v>2126</v>
      </c>
      <c r="J80" s="682" t="str">
        <f>IF(F80="Jah", LOOKUP(C80,'HT-Sõidukikütused (M1)'!$B$42:$B$60,'HT-Sõidukikütused (M1)'!$E$42:$E$60),IF(F80= "Ei", " "))</f>
        <v>Bensiini- ja diiselmootoriga sõiduautode arvutuslik keskmine KHG inventuuri aruande 2022 põhjal</v>
      </c>
      <c r="K80" s="528">
        <f t="shared" ref="K80:K89" si="18">IF(F80="Jah",E80*(G80), IF(F80="Ei",H80*E62))</f>
        <v>3610.7975815829609</v>
      </c>
      <c r="L80" s="528">
        <f>K80*0.001</f>
        <v>3.6107975815829612</v>
      </c>
      <c r="N80" s="618"/>
      <c r="O80" s="923"/>
      <c r="P80" s="924"/>
      <c r="Q80" s="664"/>
      <c r="R80" s="572" t="s">
        <v>75</v>
      </c>
      <c r="S80" s="645" t="e">
        <f>IF(R80="Jah",LOOKUP(O80,'HT-Sõidukikütused (M1)'!$B$42:$B$60,'HT-Sõidukikütused (M1)'!$C$42:$C$60),IF(R80="Ei","x "))</f>
        <v>#N/A</v>
      </c>
      <c r="T80" s="694"/>
      <c r="U80" s="695" t="s">
        <v>2126</v>
      </c>
      <c r="V80" s="682" t="e">
        <f>IF(R80="Jah", LOOKUP(O80,'HT-Sõidukikütused (M1)'!$B$42:$B$60,'HT-Sõidukikütused (M1)'!$E$42:$E$60),IF(R80= "Ei", " "))</f>
        <v>#N/A</v>
      </c>
      <c r="W80" s="528" t="e">
        <f t="shared" ref="W80:W89" si="19">IF(R80="Jah",Q80*(S80), IF(R80="Ei",T80*Q62))</f>
        <v>#N/A</v>
      </c>
      <c r="X80" s="528" t="e">
        <f>W80*0.001</f>
        <v>#N/A</v>
      </c>
      <c r="Z80" s="618"/>
      <c r="AA80" s="923"/>
      <c r="AB80" s="924"/>
      <c r="AC80" s="664"/>
      <c r="AD80" s="572" t="s">
        <v>75</v>
      </c>
      <c r="AE80" s="645" t="e">
        <f>IF(AD80="Jah",LOOKUP(AA80,'HT-Sõidukikütused (M1)'!$B$42:$B$60,'HT-Sõidukikütused (M1)'!$C$42:$C$60),IF(AD80="Ei","x "))</f>
        <v>#N/A</v>
      </c>
      <c r="AF80" s="694"/>
      <c r="AG80" s="695" t="s">
        <v>2126</v>
      </c>
      <c r="AH80" s="682" t="e">
        <f>IF(AD80="Jah", LOOKUP(AA80,'HT-Sõidukikütused (M1)'!$B$42:$B$60,'HT-Sõidukikütused (M1)'!$E$42:$E$60),IF(AD80= "Ei", " "))</f>
        <v>#N/A</v>
      </c>
      <c r="AI80" s="528" t="e">
        <f t="shared" ref="AI80:AI89" si="20">IF(AD80="Jah",AC80*(AE80), IF(AD80="Ei",AF80*AC62))</f>
        <v>#N/A</v>
      </c>
      <c r="AJ80" s="528" t="e">
        <f>AI80*0.001</f>
        <v>#N/A</v>
      </c>
    </row>
    <row r="81" spans="1:36" s="297" customFormat="1" ht="15" customHeight="1">
      <c r="B81" s="618">
        <v>3</v>
      </c>
      <c r="C81" s="923" t="s">
        <v>1707</v>
      </c>
      <c r="D81" s="924"/>
      <c r="E81" s="664">
        <v>20000</v>
      </c>
      <c r="F81" s="572" t="s">
        <v>78</v>
      </c>
      <c r="G81" s="645" t="str">
        <f>IF(F81="Jah",LOOKUP(C81,'HT-Sõidukikütused (M1)'!$B$42:$B$60,'HT-Sõidukikütused (M1)'!$C$42:$C$60),IF(F81="Ei","x "))</f>
        <v xml:space="preserve">x </v>
      </c>
      <c r="H81" s="694">
        <v>0.15</v>
      </c>
      <c r="I81" s="695" t="s">
        <v>2126</v>
      </c>
      <c r="J81" s="682" t="str">
        <f>IF(F81="Jah", LOOKUP(C81,'HT-Sõidukikütused (M1)'!$B$42:$B$60,'HT-Sõidukikütused (M1)'!$E$42:$E$60),IF(F81= "Ei", " "))</f>
        <v xml:space="preserve"> </v>
      </c>
      <c r="K81" s="528">
        <f t="shared" si="18"/>
        <v>300</v>
      </c>
      <c r="L81" s="528">
        <f t="shared" ref="L81:L89" si="21">K81*0.001</f>
        <v>0.3</v>
      </c>
      <c r="N81" s="618"/>
      <c r="O81" s="923"/>
      <c r="P81" s="924"/>
      <c r="Q81" s="664"/>
      <c r="R81" s="572" t="s">
        <v>75</v>
      </c>
      <c r="S81" s="645" t="e">
        <f>IF(R81="Jah",LOOKUP(O81,'HT-Sõidukikütused (M1)'!$B$42:$B$60,'HT-Sõidukikütused (M1)'!$C$42:$C$60),IF(R81="Ei","x "))</f>
        <v>#N/A</v>
      </c>
      <c r="T81" s="694"/>
      <c r="U81" s="695" t="s">
        <v>2126</v>
      </c>
      <c r="V81" s="682" t="e">
        <f>IF(R81="Jah", LOOKUP(O81,'HT-Sõidukikütused (M1)'!$B$42:$B$60,'HT-Sõidukikütused (M1)'!$E$42:$E$60),IF(R81= "Ei", " "))</f>
        <v>#N/A</v>
      </c>
      <c r="W81" s="528" t="e">
        <f t="shared" si="19"/>
        <v>#N/A</v>
      </c>
      <c r="X81" s="528" t="e">
        <f t="shared" ref="X81:X89" si="22">W81*0.001</f>
        <v>#N/A</v>
      </c>
      <c r="Z81" s="618"/>
      <c r="AA81" s="923"/>
      <c r="AB81" s="924"/>
      <c r="AC81" s="664"/>
      <c r="AD81" s="572" t="s">
        <v>75</v>
      </c>
      <c r="AE81" s="645" t="e">
        <f>IF(AD81="Jah",LOOKUP(AA81,'HT-Sõidukikütused (M1)'!$B$42:$B$60,'HT-Sõidukikütused (M1)'!$C$42:$C$60),IF(AD81="Ei","x "))</f>
        <v>#N/A</v>
      </c>
      <c r="AF81" s="694"/>
      <c r="AG81" s="695" t="s">
        <v>2126</v>
      </c>
      <c r="AH81" s="682" t="e">
        <f>IF(AD81="Jah", LOOKUP(AA81,'HT-Sõidukikütused (M1)'!$B$42:$B$60,'HT-Sõidukikütused (M1)'!$E$42:$E$60),IF(AD81= "Ei", " "))</f>
        <v>#N/A</v>
      </c>
      <c r="AI81" s="528" t="e">
        <f t="shared" si="20"/>
        <v>#N/A</v>
      </c>
      <c r="AJ81" s="528" t="e">
        <f t="shared" ref="AJ81:AJ89" si="23">AI81*0.001</f>
        <v>#N/A</v>
      </c>
    </row>
    <row r="82" spans="1:36" s="297" customFormat="1" ht="15" customHeight="1">
      <c r="A82" s="302"/>
      <c r="B82" s="618">
        <v>3</v>
      </c>
      <c r="C82" s="923" t="s">
        <v>1698</v>
      </c>
      <c r="D82" s="924"/>
      <c r="E82" s="664">
        <v>20000</v>
      </c>
      <c r="F82" s="572" t="s">
        <v>75</v>
      </c>
      <c r="G82" s="645">
        <f>IF(F82="Jah",LOOKUP(C82,'HT-Sõidukikütused (M1)'!$B$42:$B$60,'HT-Sõidukikütused (M1)'!$C$42:$C$60),IF(F82="Ei","x "))</f>
        <v>0.19120832501511228</v>
      </c>
      <c r="H82" s="694"/>
      <c r="I82" s="695" t="s">
        <v>2126</v>
      </c>
      <c r="J82" s="682" t="str">
        <f>IF(F82="Jah", LOOKUP(C82,'HT-Sõidukikütused (M1)'!$B$42:$B$60,'HT-Sõidukikütused (M1)'!$E$42:$E$60),IF(F82= "Ei", " "))</f>
        <v>KHG inventuuri aruanne 2022</v>
      </c>
      <c r="K82" s="528">
        <f t="shared" si="18"/>
        <v>3824.1665003022458</v>
      </c>
      <c r="L82" s="528">
        <f t="shared" si="21"/>
        <v>3.8241665003022458</v>
      </c>
      <c r="N82" s="618"/>
      <c r="O82" s="923"/>
      <c r="P82" s="924"/>
      <c r="Q82" s="664"/>
      <c r="R82" s="572" t="s">
        <v>75</v>
      </c>
      <c r="S82" s="645" t="e">
        <f>IF(R82="Jah",LOOKUP(O82,'HT-Sõidukikütused (M1)'!$B$42:$B$60,'HT-Sõidukikütused (M1)'!$C$42:$C$60),IF(R82="Ei","x "))</f>
        <v>#N/A</v>
      </c>
      <c r="T82" s="694"/>
      <c r="U82" s="695" t="s">
        <v>2126</v>
      </c>
      <c r="V82" s="682" t="e">
        <f>IF(R82="Jah", LOOKUP(O82,'HT-Sõidukikütused (M1)'!$B$42:$B$60,'HT-Sõidukikütused (M1)'!$E$42:$E$60),IF(R82= "Ei", " "))</f>
        <v>#N/A</v>
      </c>
      <c r="W82" s="528" t="e">
        <f t="shared" si="19"/>
        <v>#N/A</v>
      </c>
      <c r="X82" s="528" t="e">
        <f t="shared" si="22"/>
        <v>#N/A</v>
      </c>
      <c r="Z82" s="618"/>
      <c r="AA82" s="923"/>
      <c r="AB82" s="924"/>
      <c r="AC82" s="664"/>
      <c r="AD82" s="572" t="s">
        <v>75</v>
      </c>
      <c r="AE82" s="645" t="e">
        <f>IF(AD82="Jah",LOOKUP(AA82,'HT-Sõidukikütused (M1)'!$B$42:$B$60,'HT-Sõidukikütused (M1)'!$C$42:$C$60),IF(AD82="Ei","x "))</f>
        <v>#N/A</v>
      </c>
      <c r="AF82" s="694"/>
      <c r="AG82" s="695" t="s">
        <v>2126</v>
      </c>
      <c r="AH82" s="682" t="e">
        <f>IF(AD82="Jah", LOOKUP(AA82,'HT-Sõidukikütused (M1)'!$B$42:$B$60,'HT-Sõidukikütused (M1)'!$E$42:$E$60),IF(AD82= "Ei", " "))</f>
        <v>#N/A</v>
      </c>
      <c r="AI82" s="528" t="e">
        <f t="shared" si="20"/>
        <v>#N/A</v>
      </c>
      <c r="AJ82" s="528" t="e">
        <f t="shared" si="23"/>
        <v>#N/A</v>
      </c>
    </row>
    <row r="83" spans="1:36" s="297" customFormat="1" ht="15" customHeight="1">
      <c r="A83" s="302"/>
      <c r="B83" s="618">
        <v>3</v>
      </c>
      <c r="C83" s="923" t="s">
        <v>2252</v>
      </c>
      <c r="D83" s="924"/>
      <c r="E83" s="664">
        <v>20000</v>
      </c>
      <c r="F83" s="572" t="s">
        <v>75</v>
      </c>
      <c r="G83" s="645">
        <f>IF(F83="Jah",LOOKUP(C83,'HT-Sõidukikütused (M1)'!$B$42:$B$60,'HT-Sõidukikütused (M1)'!$C$42:$C$60),IF(F83="Ei","x "))</f>
        <v>0.14432171666978094</v>
      </c>
      <c r="H83" s="694"/>
      <c r="I83" s="695" t="s">
        <v>2126</v>
      </c>
      <c r="J83" s="682" t="str">
        <f>IF(F83="Jah", LOOKUP(C83,'HT-Sõidukikütused (M1)'!$B$42:$B$60,'HT-Sõidukikütused (M1)'!$E$42:$E$60),IF(F83= "Ei", " "))</f>
        <v>KHG inventuuri aruanne 2022, arvestatud, et sõiduk tarbib keskmiselt 75% bensiini  ja 25% elektrit</v>
      </c>
      <c r="K83" s="528">
        <f t="shared" si="18"/>
        <v>2886.434333395619</v>
      </c>
      <c r="L83" s="528">
        <f t="shared" si="21"/>
        <v>2.8864343333956191</v>
      </c>
      <c r="N83" s="618"/>
      <c r="O83" s="923"/>
      <c r="P83" s="924"/>
      <c r="Q83" s="664"/>
      <c r="R83" s="572" t="s">
        <v>75</v>
      </c>
      <c r="S83" s="645" t="e">
        <f>IF(R83="Jah",LOOKUP(O83,'HT-Sõidukikütused (M1)'!$B$42:$B$60,'HT-Sõidukikütused (M1)'!$C$42:$C$60),IF(R83="Ei","x "))</f>
        <v>#N/A</v>
      </c>
      <c r="T83" s="694"/>
      <c r="U83" s="695" t="s">
        <v>2126</v>
      </c>
      <c r="V83" s="682" t="e">
        <f>IF(R83="Jah", LOOKUP(O83,'HT-Sõidukikütused (M1)'!$B$42:$B$60,'HT-Sõidukikütused (M1)'!$E$42:$E$60),IF(R83= "Ei", " "))</f>
        <v>#N/A</v>
      </c>
      <c r="W83" s="528" t="e">
        <f t="shared" si="19"/>
        <v>#N/A</v>
      </c>
      <c r="X83" s="528" t="e">
        <f t="shared" si="22"/>
        <v>#N/A</v>
      </c>
      <c r="Z83" s="618"/>
      <c r="AA83" s="923"/>
      <c r="AB83" s="924"/>
      <c r="AC83" s="664"/>
      <c r="AD83" s="572" t="s">
        <v>75</v>
      </c>
      <c r="AE83" s="645" t="e">
        <f>IF(AD83="Jah",LOOKUP(AA83,'HT-Sõidukikütused (M1)'!$B$42:$B$60,'HT-Sõidukikütused (M1)'!$C$42:$C$60),IF(AD83="Ei","x "))</f>
        <v>#N/A</v>
      </c>
      <c r="AF83" s="694"/>
      <c r="AG83" s="695" t="s">
        <v>2126</v>
      </c>
      <c r="AH83" s="682" t="e">
        <f>IF(AD83="Jah", LOOKUP(AA83,'HT-Sõidukikütused (M1)'!$B$42:$B$60,'HT-Sõidukikütused (M1)'!$E$42:$E$60),IF(AD83= "Ei", " "))</f>
        <v>#N/A</v>
      </c>
      <c r="AI83" s="528" t="e">
        <f t="shared" si="20"/>
        <v>#N/A</v>
      </c>
      <c r="AJ83" s="528" t="e">
        <f t="shared" si="23"/>
        <v>#N/A</v>
      </c>
    </row>
    <row r="84" spans="1:36" s="297" customFormat="1" ht="15" customHeight="1">
      <c r="A84" s="302"/>
      <c r="B84" s="618">
        <v>3</v>
      </c>
      <c r="C84" s="923" t="s">
        <v>2251</v>
      </c>
      <c r="D84" s="924"/>
      <c r="E84" s="664">
        <v>10000</v>
      </c>
      <c r="F84" s="572" t="s">
        <v>75</v>
      </c>
      <c r="G84" s="645">
        <f>IF(F84="Jah",LOOKUP(C84,'HT-Sõidukikütused (M1)'!$B$42:$B$60,'HT-Sõidukikütused (M1)'!$C$42:$C$60),IF(F84="Ei","x "))</f>
        <v>0.12644023246913397</v>
      </c>
      <c r="H84" s="694"/>
      <c r="I84" s="695" t="s">
        <v>2126</v>
      </c>
      <c r="J84" s="682" t="str">
        <f>IF(F84="Jah", LOOKUP(C84,'HT-Sõidukikütused (M1)'!$B$42:$B$60,'HT-Sõidukikütused (M1)'!$E$42:$E$60),IF(F84= "Ei", " "))</f>
        <v>KHG inventuuri aruanne 2022</v>
      </c>
      <c r="K84" s="528">
        <f t="shared" si="18"/>
        <v>1264.4023246913396</v>
      </c>
      <c r="L84" s="528">
        <f t="shared" si="21"/>
        <v>1.2644023246913396</v>
      </c>
      <c r="N84" s="618"/>
      <c r="O84" s="923"/>
      <c r="P84" s="924"/>
      <c r="Q84" s="664"/>
      <c r="R84" s="572" t="s">
        <v>75</v>
      </c>
      <c r="S84" s="645" t="e">
        <f>IF(R84="Jah",LOOKUP(O84,'HT-Sõidukikütused (M1)'!$B$42:$B$60,'HT-Sõidukikütused (M1)'!$C$42:$C$60),IF(R84="Ei","x "))</f>
        <v>#N/A</v>
      </c>
      <c r="T84" s="694"/>
      <c r="U84" s="695" t="s">
        <v>2126</v>
      </c>
      <c r="V84" s="682" t="e">
        <f>IF(R84="Jah", LOOKUP(O84,'HT-Sõidukikütused (M1)'!$B$42:$B$60,'HT-Sõidukikütused (M1)'!$E$42:$E$60),IF(R84= "Ei", " "))</f>
        <v>#N/A</v>
      </c>
      <c r="W84" s="528" t="e">
        <f t="shared" si="19"/>
        <v>#N/A</v>
      </c>
      <c r="X84" s="528" t="e">
        <f t="shared" si="22"/>
        <v>#N/A</v>
      </c>
      <c r="Z84" s="618"/>
      <c r="AA84" s="923"/>
      <c r="AB84" s="924"/>
      <c r="AC84" s="664"/>
      <c r="AD84" s="572" t="s">
        <v>75</v>
      </c>
      <c r="AE84" s="645" t="e">
        <f>IF(AD84="Jah",LOOKUP(AA84,'HT-Sõidukikütused (M1)'!$B$42:$B$60,'HT-Sõidukikütused (M1)'!$C$42:$C$60),IF(AD84="Ei","x "))</f>
        <v>#N/A</v>
      </c>
      <c r="AF84" s="694"/>
      <c r="AG84" s="695" t="s">
        <v>2126</v>
      </c>
      <c r="AH84" s="682" t="e">
        <f>IF(AD84="Jah", LOOKUP(AA84,'HT-Sõidukikütused (M1)'!$B$42:$B$60,'HT-Sõidukikütused (M1)'!$E$42:$E$60),IF(AD84= "Ei", " "))</f>
        <v>#N/A</v>
      </c>
      <c r="AI84" s="528" t="e">
        <f t="shared" si="20"/>
        <v>#N/A</v>
      </c>
      <c r="AJ84" s="528" t="e">
        <f t="shared" si="23"/>
        <v>#N/A</v>
      </c>
    </row>
    <row r="85" spans="1:36" s="297" customFormat="1" ht="15" customHeight="1">
      <c r="A85" s="302"/>
      <c r="B85" s="618"/>
      <c r="C85" s="923"/>
      <c r="D85" s="924"/>
      <c r="E85" s="664"/>
      <c r="F85" s="572" t="s">
        <v>75</v>
      </c>
      <c r="G85" s="645" t="e">
        <f>IF(F85="Jah",LOOKUP(C85,'HT-Sõidukikütused (M1)'!$B$42:$B$60,'HT-Sõidukikütused (M1)'!$C$42:$C$60),IF(F85="Ei","x "))</f>
        <v>#N/A</v>
      </c>
      <c r="H85" s="694"/>
      <c r="I85" s="695" t="s">
        <v>2126</v>
      </c>
      <c r="J85" s="682" t="e">
        <f>IF(F85="Jah", LOOKUP(C85,'HT-Sõidukikütused (M1)'!$B$42:$B$60,'HT-Sõidukikütused (M1)'!$E$42:$E$60),IF(F85= "Ei", " "))</f>
        <v>#N/A</v>
      </c>
      <c r="K85" s="528" t="e">
        <f t="shared" si="18"/>
        <v>#N/A</v>
      </c>
      <c r="L85" s="528" t="e">
        <f t="shared" si="21"/>
        <v>#N/A</v>
      </c>
      <c r="N85" s="618"/>
      <c r="O85" s="923"/>
      <c r="P85" s="924"/>
      <c r="Q85" s="664"/>
      <c r="R85" s="572" t="s">
        <v>75</v>
      </c>
      <c r="S85" s="645" t="e">
        <f>IF(R85="Jah",LOOKUP(O85,'HT-Sõidukikütused (M1)'!$B$42:$B$60,'HT-Sõidukikütused (M1)'!$C$42:$C$60),IF(R85="Ei","x "))</f>
        <v>#N/A</v>
      </c>
      <c r="T85" s="694"/>
      <c r="U85" s="695" t="s">
        <v>2126</v>
      </c>
      <c r="V85" s="682" t="e">
        <f>IF(R85="Jah", LOOKUP(O85,'HT-Sõidukikütused (M1)'!$B$42:$B$60,'HT-Sõidukikütused (M1)'!$E$42:$E$60),IF(R85= "Ei", " "))</f>
        <v>#N/A</v>
      </c>
      <c r="W85" s="528" t="e">
        <f t="shared" si="19"/>
        <v>#N/A</v>
      </c>
      <c r="X85" s="528" t="e">
        <f t="shared" si="22"/>
        <v>#N/A</v>
      </c>
      <c r="Z85" s="618"/>
      <c r="AA85" s="923"/>
      <c r="AB85" s="924"/>
      <c r="AC85" s="664"/>
      <c r="AD85" s="572" t="s">
        <v>75</v>
      </c>
      <c r="AE85" s="645" t="e">
        <f>IF(AD85="Jah",LOOKUP(AA85,'HT-Sõidukikütused (M1)'!$B$42:$B$60,'HT-Sõidukikütused (M1)'!$C$42:$C$60),IF(AD85="Ei","x "))</f>
        <v>#N/A</v>
      </c>
      <c r="AF85" s="694"/>
      <c r="AG85" s="695" t="s">
        <v>2126</v>
      </c>
      <c r="AH85" s="682" t="e">
        <f>IF(AD85="Jah", LOOKUP(AA85,'HT-Sõidukikütused (M1)'!$B$42:$B$60,'HT-Sõidukikütused (M1)'!$E$42:$E$60),IF(AD85= "Ei", " "))</f>
        <v>#N/A</v>
      </c>
      <c r="AI85" s="528" t="e">
        <f t="shared" si="20"/>
        <v>#N/A</v>
      </c>
      <c r="AJ85" s="528" t="e">
        <f t="shared" si="23"/>
        <v>#N/A</v>
      </c>
    </row>
    <row r="86" spans="1:36" s="297" customFormat="1" ht="15" customHeight="1">
      <c r="A86" s="302"/>
      <c r="B86" s="618"/>
      <c r="C86" s="923"/>
      <c r="D86" s="924"/>
      <c r="E86" s="664"/>
      <c r="F86" s="572" t="s">
        <v>75</v>
      </c>
      <c r="G86" s="645" t="e">
        <f>IF(F86="Jah",LOOKUP(C86,'HT-Sõidukikütused (M1)'!$B$42:$B$60,'HT-Sõidukikütused (M1)'!$C$42:$C$60),IF(F86="Ei","x "))</f>
        <v>#N/A</v>
      </c>
      <c r="H86" s="694"/>
      <c r="I86" s="695" t="s">
        <v>2126</v>
      </c>
      <c r="J86" s="682" t="e">
        <f>IF(F86="Jah", LOOKUP(C86,'HT-Sõidukikütused (M1)'!$B$42:$B$60,'HT-Sõidukikütused (M1)'!$E$42:$E$60),IF(F86= "Ei", " "))</f>
        <v>#N/A</v>
      </c>
      <c r="K86" s="528" t="e">
        <f t="shared" si="18"/>
        <v>#N/A</v>
      </c>
      <c r="L86" s="528" t="e">
        <f t="shared" si="21"/>
        <v>#N/A</v>
      </c>
      <c r="N86" s="618"/>
      <c r="O86" s="923"/>
      <c r="P86" s="924"/>
      <c r="Q86" s="664"/>
      <c r="R86" s="572" t="s">
        <v>75</v>
      </c>
      <c r="S86" s="645" t="e">
        <f>IF(R86="Jah",LOOKUP(O86,'HT-Sõidukikütused (M1)'!$B$42:$B$60,'HT-Sõidukikütused (M1)'!$C$42:$C$60),IF(R86="Ei","x "))</f>
        <v>#N/A</v>
      </c>
      <c r="T86" s="694"/>
      <c r="U86" s="695" t="s">
        <v>2126</v>
      </c>
      <c r="V86" s="682" t="e">
        <f>IF(R86="Jah", LOOKUP(O86,'HT-Sõidukikütused (M1)'!$B$42:$B$60,'HT-Sõidukikütused (M1)'!$E$42:$E$60),IF(R86= "Ei", " "))</f>
        <v>#N/A</v>
      </c>
      <c r="W86" s="528" t="e">
        <f t="shared" si="19"/>
        <v>#N/A</v>
      </c>
      <c r="X86" s="528" t="e">
        <f t="shared" si="22"/>
        <v>#N/A</v>
      </c>
      <c r="Z86" s="618"/>
      <c r="AA86" s="923"/>
      <c r="AB86" s="924"/>
      <c r="AC86" s="664"/>
      <c r="AD86" s="572" t="s">
        <v>75</v>
      </c>
      <c r="AE86" s="645" t="e">
        <f>IF(AD86="Jah",LOOKUP(AA86,'HT-Sõidukikütused (M1)'!$B$42:$B$60,'HT-Sõidukikütused (M1)'!$C$42:$C$60),IF(AD86="Ei","x "))</f>
        <v>#N/A</v>
      </c>
      <c r="AF86" s="694"/>
      <c r="AG86" s="695" t="s">
        <v>2126</v>
      </c>
      <c r="AH86" s="682" t="e">
        <f>IF(AD86="Jah", LOOKUP(AA86,'HT-Sõidukikütused (M1)'!$B$42:$B$60,'HT-Sõidukikütused (M1)'!$E$42:$E$60),IF(AD86= "Ei", " "))</f>
        <v>#N/A</v>
      </c>
      <c r="AI86" s="528" t="e">
        <f t="shared" si="20"/>
        <v>#N/A</v>
      </c>
      <c r="AJ86" s="528" t="e">
        <f t="shared" si="23"/>
        <v>#N/A</v>
      </c>
    </row>
    <row r="87" spans="1:36" s="297" customFormat="1" ht="15" customHeight="1">
      <c r="A87" s="302"/>
      <c r="B87" s="618"/>
      <c r="C87" s="923"/>
      <c r="D87" s="924"/>
      <c r="E87" s="664"/>
      <c r="F87" s="572" t="s">
        <v>75</v>
      </c>
      <c r="G87" s="645" t="e">
        <f>IF(F87="Jah",LOOKUP(C87,'HT-Sõidukikütused (M1)'!$B$42:$B$60,'HT-Sõidukikütused (M1)'!$C$42:$C$60),IF(F87="Ei","x "))</f>
        <v>#N/A</v>
      </c>
      <c r="H87" s="694"/>
      <c r="I87" s="695" t="s">
        <v>2126</v>
      </c>
      <c r="J87" s="682" t="e">
        <f>IF(F87="Jah", LOOKUP(C87,'HT-Sõidukikütused (M1)'!$B$42:$B$60,'HT-Sõidukikütused (M1)'!$E$42:$E$60),IF(F87= "Ei", " "))</f>
        <v>#N/A</v>
      </c>
      <c r="K87" s="528" t="e">
        <f t="shared" si="18"/>
        <v>#N/A</v>
      </c>
      <c r="L87" s="528" t="e">
        <f t="shared" si="21"/>
        <v>#N/A</v>
      </c>
      <c r="N87" s="618"/>
      <c r="O87" s="923"/>
      <c r="P87" s="924"/>
      <c r="Q87" s="664"/>
      <c r="R87" s="572" t="s">
        <v>75</v>
      </c>
      <c r="S87" s="645" t="e">
        <f>IF(R87="Jah",LOOKUP(O87,'HT-Sõidukikütused (M1)'!$B$42:$B$60,'HT-Sõidukikütused (M1)'!$C$42:$C$60),IF(R87="Ei","x "))</f>
        <v>#N/A</v>
      </c>
      <c r="T87" s="694"/>
      <c r="U87" s="695" t="s">
        <v>2126</v>
      </c>
      <c r="V87" s="682" t="e">
        <f>IF(R87="Jah", LOOKUP(O87,'HT-Sõidukikütused (M1)'!$B$42:$B$60,'HT-Sõidukikütused (M1)'!$E$42:$E$60),IF(R87= "Ei", " "))</f>
        <v>#N/A</v>
      </c>
      <c r="W87" s="528" t="e">
        <f t="shared" si="19"/>
        <v>#N/A</v>
      </c>
      <c r="X87" s="528" t="e">
        <f t="shared" si="22"/>
        <v>#N/A</v>
      </c>
      <c r="Z87" s="618"/>
      <c r="AA87" s="923"/>
      <c r="AB87" s="924"/>
      <c r="AC87" s="664"/>
      <c r="AD87" s="572" t="s">
        <v>75</v>
      </c>
      <c r="AE87" s="645" t="e">
        <f>IF(AD87="Jah",LOOKUP(AA87,'HT-Sõidukikütused (M1)'!$B$42:$B$60,'HT-Sõidukikütused (M1)'!$C$42:$C$60),IF(AD87="Ei","x "))</f>
        <v>#N/A</v>
      </c>
      <c r="AF87" s="694"/>
      <c r="AG87" s="695" t="s">
        <v>2126</v>
      </c>
      <c r="AH87" s="682" t="e">
        <f>IF(AD87="Jah", LOOKUP(AA87,'HT-Sõidukikütused (M1)'!$B$42:$B$60,'HT-Sõidukikütused (M1)'!$E$42:$E$60),IF(AD87= "Ei", " "))</f>
        <v>#N/A</v>
      </c>
      <c r="AI87" s="528" t="e">
        <f t="shared" si="20"/>
        <v>#N/A</v>
      </c>
      <c r="AJ87" s="528" t="e">
        <f t="shared" si="23"/>
        <v>#N/A</v>
      </c>
    </row>
    <row r="88" spans="1:36" s="297" customFormat="1" ht="15" customHeight="1">
      <c r="A88" s="302"/>
      <c r="B88" s="618"/>
      <c r="C88" s="923"/>
      <c r="D88" s="924"/>
      <c r="E88" s="664"/>
      <c r="F88" s="572" t="s">
        <v>75</v>
      </c>
      <c r="G88" s="645" t="e">
        <f>IF(F88="Jah",LOOKUP(C88,'HT-Sõidukikütused (M1)'!$B$42:$B$60,'HT-Sõidukikütused (M1)'!$C$42:$C$60),IF(F88="Ei","x "))</f>
        <v>#N/A</v>
      </c>
      <c r="H88" s="694"/>
      <c r="I88" s="695" t="s">
        <v>2126</v>
      </c>
      <c r="J88" s="682" t="e">
        <f>IF(F88="Jah", LOOKUP(C88,'HT-Sõidukikütused (M1)'!$B$42:$B$60,'HT-Sõidukikütused (M1)'!$E$42:$E$60),IF(F88= "Ei", " "))</f>
        <v>#N/A</v>
      </c>
      <c r="K88" s="528" t="e">
        <f t="shared" si="18"/>
        <v>#N/A</v>
      </c>
      <c r="L88" s="528" t="e">
        <f t="shared" si="21"/>
        <v>#N/A</v>
      </c>
      <c r="N88" s="618"/>
      <c r="O88" s="923"/>
      <c r="P88" s="924"/>
      <c r="Q88" s="664"/>
      <c r="R88" s="572" t="s">
        <v>75</v>
      </c>
      <c r="S88" s="645" t="e">
        <f>IF(R88="Jah",LOOKUP(O88,'HT-Sõidukikütused (M1)'!$B$42:$B$60,'HT-Sõidukikütused (M1)'!$C$42:$C$60),IF(R88="Ei","x "))</f>
        <v>#N/A</v>
      </c>
      <c r="T88" s="694"/>
      <c r="U88" s="695" t="s">
        <v>2126</v>
      </c>
      <c r="V88" s="682" t="e">
        <f>IF(R88="Jah", LOOKUP(O88,'HT-Sõidukikütused (M1)'!$B$42:$B$60,'HT-Sõidukikütused (M1)'!$E$42:$E$60),IF(R88= "Ei", " "))</f>
        <v>#N/A</v>
      </c>
      <c r="W88" s="528" t="e">
        <f t="shared" si="19"/>
        <v>#N/A</v>
      </c>
      <c r="X88" s="528" t="e">
        <f t="shared" si="22"/>
        <v>#N/A</v>
      </c>
      <c r="Z88" s="618"/>
      <c r="AA88" s="923"/>
      <c r="AB88" s="924"/>
      <c r="AC88" s="664"/>
      <c r="AD88" s="572" t="s">
        <v>75</v>
      </c>
      <c r="AE88" s="645" t="e">
        <f>IF(AD88="Jah",LOOKUP(AA88,'HT-Sõidukikütused (M1)'!$B$42:$B$60,'HT-Sõidukikütused (M1)'!$C$42:$C$60),IF(AD88="Ei","x "))</f>
        <v>#N/A</v>
      </c>
      <c r="AF88" s="694"/>
      <c r="AG88" s="695" t="s">
        <v>2126</v>
      </c>
      <c r="AH88" s="682" t="e">
        <f>IF(AD88="Jah", LOOKUP(AA88,'HT-Sõidukikütused (M1)'!$B$42:$B$60,'HT-Sõidukikütused (M1)'!$E$42:$E$60),IF(AD88= "Ei", " "))</f>
        <v>#N/A</v>
      </c>
      <c r="AI88" s="528" t="e">
        <f t="shared" si="20"/>
        <v>#N/A</v>
      </c>
      <c r="AJ88" s="528" t="e">
        <f t="shared" si="23"/>
        <v>#N/A</v>
      </c>
    </row>
    <row r="89" spans="1:36" s="297" customFormat="1" ht="15" customHeight="1">
      <c r="A89" s="302"/>
      <c r="B89" s="667"/>
      <c r="C89" s="923"/>
      <c r="D89" s="924"/>
      <c r="E89" s="668"/>
      <c r="F89" s="576" t="s">
        <v>75</v>
      </c>
      <c r="G89" s="645" t="e">
        <f>IF(F89="Jah",LOOKUP(C89,'HT-Sõidukikütused (M1)'!$B$42:$B$60,'HT-Sõidukikütused (M1)'!$C$42:$C$60),IF(F89="Ei","x "))</f>
        <v>#N/A</v>
      </c>
      <c r="H89" s="696"/>
      <c r="I89" s="697" t="s">
        <v>2126</v>
      </c>
      <c r="J89" s="682" t="e">
        <f>IF(F89="Jah", LOOKUP(C89,'HT-Sõidukikütused (M1)'!$B$42:$B$60,'HT-Sõidukikütused (M1)'!$E$42:$E$60),IF(F89= "Ei", " "))</f>
        <v>#N/A</v>
      </c>
      <c r="K89" s="528" t="e">
        <f t="shared" si="18"/>
        <v>#N/A</v>
      </c>
      <c r="L89" s="528" t="e">
        <f t="shared" si="21"/>
        <v>#N/A</v>
      </c>
      <c r="N89" s="667"/>
      <c r="O89" s="923"/>
      <c r="P89" s="924"/>
      <c r="Q89" s="668"/>
      <c r="R89" s="576" t="s">
        <v>75</v>
      </c>
      <c r="S89" s="645" t="e">
        <f>IF(R89="Jah",LOOKUP(O89,'HT-Sõidukikütused (M1)'!$B$42:$B$60,'HT-Sõidukikütused (M1)'!$C$42:$C$60),IF(R89="Ei","x "))</f>
        <v>#N/A</v>
      </c>
      <c r="T89" s="696"/>
      <c r="U89" s="697" t="s">
        <v>2126</v>
      </c>
      <c r="V89" s="682" t="e">
        <f>IF(R89="Jah", LOOKUP(O89,'HT-Sõidukikütused (M1)'!$B$42:$B$60,'HT-Sõidukikütused (M1)'!$E$42:$E$60),IF(R89= "Ei", " "))</f>
        <v>#N/A</v>
      </c>
      <c r="W89" s="528" t="e">
        <f t="shared" si="19"/>
        <v>#N/A</v>
      </c>
      <c r="X89" s="528" t="e">
        <f t="shared" si="22"/>
        <v>#N/A</v>
      </c>
      <c r="Z89" s="667"/>
      <c r="AA89" s="923"/>
      <c r="AB89" s="924"/>
      <c r="AC89" s="668"/>
      <c r="AD89" s="576" t="s">
        <v>75</v>
      </c>
      <c r="AE89" s="645" t="e">
        <f>IF(AD89="Jah",LOOKUP(AA89,'HT-Sõidukikütused (M1)'!$B$42:$B$60,'HT-Sõidukikütused (M1)'!$C$42:$C$60),IF(AD89="Ei","x "))</f>
        <v>#N/A</v>
      </c>
      <c r="AF89" s="696"/>
      <c r="AG89" s="697" t="s">
        <v>2126</v>
      </c>
      <c r="AH89" s="682" t="e">
        <f>IF(AD89="Jah", LOOKUP(AA89,'HT-Sõidukikütused (M1)'!$B$42:$B$60,'HT-Sõidukikütused (M1)'!$E$42:$E$60),IF(AD89= "Ei", " "))</f>
        <v>#N/A</v>
      </c>
      <c r="AI89" s="528" t="e">
        <f t="shared" si="20"/>
        <v>#N/A</v>
      </c>
      <c r="AJ89" s="528" t="e">
        <f t="shared" si="23"/>
        <v>#N/A</v>
      </c>
    </row>
    <row r="90" spans="1:36" ht="15" customHeight="1">
      <c r="B90" s="536"/>
      <c r="C90" s="537"/>
      <c r="D90" s="537"/>
      <c r="E90" s="537"/>
      <c r="F90" s="537"/>
      <c r="G90" s="537"/>
      <c r="H90" s="537"/>
      <c r="I90" s="537"/>
      <c r="J90" s="592" t="s">
        <v>1592</v>
      </c>
      <c r="K90" s="594">
        <f>SUMIF(K80:K89,"&lt;&gt;#N/A")</f>
        <v>11885.800739972166</v>
      </c>
      <c r="L90" s="594">
        <f>SUMIF(L80:L89,"&lt;&gt;#N/A")</f>
        <v>11.885800739972165</v>
      </c>
      <c r="N90" s="536"/>
      <c r="O90" s="537"/>
      <c r="P90" s="537"/>
      <c r="Q90" s="537"/>
      <c r="R90" s="537"/>
      <c r="S90" s="537"/>
      <c r="T90" s="537"/>
      <c r="U90" s="537"/>
      <c r="V90" s="592" t="s">
        <v>1592</v>
      </c>
      <c r="W90" s="594">
        <f>SUMIF(W80:W89,"&lt;&gt;#N/A")</f>
        <v>0</v>
      </c>
      <c r="X90" s="594">
        <f>SUMIF(X80:X89,"&lt;&gt;#N/A")</f>
        <v>0</v>
      </c>
      <c r="Z90" s="536"/>
      <c r="AA90" s="537"/>
      <c r="AB90" s="537"/>
      <c r="AC90" s="537"/>
      <c r="AD90" s="537"/>
      <c r="AE90" s="537"/>
      <c r="AF90" s="537"/>
      <c r="AG90" s="537"/>
      <c r="AH90" s="592" t="s">
        <v>1592</v>
      </c>
      <c r="AI90" s="594">
        <f>SUMIF(AI80:AI89,"&lt;&gt;#N/A")</f>
        <v>0</v>
      </c>
      <c r="AJ90" s="594">
        <f>SUMIF(AJ80:AJ89,"&lt;&gt;#N/A")</f>
        <v>0</v>
      </c>
    </row>
    <row r="91" spans="1:36" ht="15" customHeight="1" thickBot="1">
      <c r="B91" s="698"/>
      <c r="N91" s="698"/>
      <c r="Q91" s="297"/>
      <c r="Z91" s="698"/>
      <c r="AC91" s="297"/>
    </row>
    <row r="92" spans="1:36" ht="15" customHeight="1" thickTop="1" thickBot="1">
      <c r="B92" s="579"/>
      <c r="C92" s="580"/>
      <c r="D92" s="580"/>
      <c r="E92" s="580"/>
      <c r="F92" s="580"/>
      <c r="G92" s="932" t="s">
        <v>2290</v>
      </c>
      <c r="H92" s="932"/>
      <c r="I92" s="932"/>
      <c r="J92" s="933"/>
      <c r="K92" s="672">
        <f>SUMIF(K44:K53,"&lt;&gt;#N/A")+SUMIF(K62:K71,"&lt;&gt;#N/A")+SUMIF(K80:K89,"&lt;&gt;#N/A")</f>
        <v>34184.061627300456</v>
      </c>
      <c r="L92" s="582">
        <f>SUMIF(L44:L53,"&lt;&gt;#N/A")+SUMIF(L62:L71,"&lt;&gt;#N/A")+SUMIF(L80:L89,"&lt;&gt;#N/A")</f>
        <v>34.184061627300451</v>
      </c>
      <c r="N92" s="579"/>
      <c r="O92" s="580"/>
      <c r="P92" s="580"/>
      <c r="Q92" s="580"/>
      <c r="R92" s="580"/>
      <c r="S92" s="932" t="s">
        <v>2290</v>
      </c>
      <c r="T92" s="932"/>
      <c r="U92" s="932"/>
      <c r="V92" s="933"/>
      <c r="W92" s="672">
        <f>SUMIF(W44:W53,"&lt;&gt;#N/A")+SUMIF(W62:W71,"&lt;&gt;#N/A")+SUMIF(W80:W89,"&lt;&gt;#N/A")</f>
        <v>0</v>
      </c>
      <c r="X92" s="582">
        <f>SUMIF(X44:X53,"&lt;&gt;#N/A")+SUMIF(X62:X71,"&lt;&gt;#N/A")+SUMIF(X80:X89,"&lt;&gt;#N/A")</f>
        <v>0</v>
      </c>
      <c r="Z92" s="579"/>
      <c r="AA92" s="580"/>
      <c r="AB92" s="580"/>
      <c r="AC92" s="580"/>
      <c r="AD92" s="580"/>
      <c r="AE92" s="932" t="s">
        <v>2290</v>
      </c>
      <c r="AF92" s="932"/>
      <c r="AG92" s="932"/>
      <c r="AH92" s="933"/>
      <c r="AI92" s="672">
        <f>SUMIF(AI44:AI53,"&lt;&gt;#N/A")+SUMIF(AI62:AI71,"&lt;&gt;#N/A")+SUMIF(AI80:AI89,"&lt;&gt;#N/A")</f>
        <v>0</v>
      </c>
      <c r="AJ92" s="582">
        <f>SUMIF(AJ44:AJ53,"&lt;&gt;#N/A")+SUMIF(AJ62:AJ71,"&lt;&gt;#N/A")+SUMIF(AJ80:AJ89,"&lt;&gt;#N/A")</f>
        <v>0</v>
      </c>
    </row>
    <row r="93" spans="1:36" ht="15" customHeight="1" thickTop="1">
      <c r="Q93" s="297"/>
      <c r="AC93" s="297"/>
    </row>
    <row r="94" spans="1:36" ht="15" customHeight="1">
      <c r="B94" s="536"/>
      <c r="C94" s="537"/>
      <c r="D94" s="537"/>
      <c r="E94" s="537"/>
      <c r="F94" s="537"/>
      <c r="G94" s="537"/>
      <c r="H94" s="537"/>
      <c r="I94" s="537"/>
      <c r="J94" s="538" t="s">
        <v>1575</v>
      </c>
      <c r="K94" s="539">
        <f>SUMIF(B44:B53,1,K44:K53)+SUMIF(B62:B71,1,K62:K71)+SUMIF(B80:B89,1,K80:K89)</f>
        <v>14587.648399187154</v>
      </c>
      <c r="L94" s="540">
        <f>K94*0.001</f>
        <v>14.587648399187154</v>
      </c>
      <c r="N94" s="536"/>
      <c r="O94" s="537"/>
      <c r="P94" s="537"/>
      <c r="Q94" s="537"/>
      <c r="R94" s="537"/>
      <c r="S94" s="537"/>
      <c r="T94" s="537"/>
      <c r="U94" s="537"/>
      <c r="V94" s="538" t="s">
        <v>1575</v>
      </c>
      <c r="W94" s="539">
        <f>SUMIF(N44:N53,1,W44:W53)+SUMIF(N62:N71,1,W62:W71)+SUMIF(N80:N89,1,W80:W89)</f>
        <v>0</v>
      </c>
      <c r="X94" s="540">
        <f>W94*0.001</f>
        <v>0</v>
      </c>
      <c r="Z94" s="536"/>
      <c r="AA94" s="537"/>
      <c r="AB94" s="537"/>
      <c r="AC94" s="537"/>
      <c r="AD94" s="537"/>
      <c r="AE94" s="537"/>
      <c r="AF94" s="537"/>
      <c r="AG94" s="537"/>
      <c r="AH94" s="538" t="s">
        <v>1575</v>
      </c>
      <c r="AI94" s="539">
        <f>SUMIF(Z44:Z53,1,AI44:AI53)+SUMIF(Z62:Z71,1,AI62:AI71)+SUMIF(Z80:Z89,1,AI80:AI89)</f>
        <v>0</v>
      </c>
      <c r="AJ94" s="540">
        <f>AI94*0.001</f>
        <v>0</v>
      </c>
    </row>
    <row r="95" spans="1:36" ht="15" customHeight="1">
      <c r="B95" s="536"/>
      <c r="C95" s="537"/>
      <c r="D95" s="537"/>
      <c r="E95" s="537"/>
      <c r="F95" s="537"/>
      <c r="G95" s="537"/>
      <c r="H95" s="537"/>
      <c r="I95" s="537"/>
      <c r="J95" s="538" t="s">
        <v>1576</v>
      </c>
      <c r="K95" s="539">
        <f>SUMIF(B44:B53,2,K44:K53)+SUMIF(B62:B71,2,K62:K71)+SUMIF(B80:B89,2,K80:K89)</f>
        <v>7710.6124881411324</v>
      </c>
      <c r="L95" s="540">
        <f t="shared" ref="L95:L96" si="24">K95*0.001</f>
        <v>7.7106124881411322</v>
      </c>
      <c r="N95" s="536"/>
      <c r="O95" s="537"/>
      <c r="P95" s="537"/>
      <c r="Q95" s="537"/>
      <c r="R95" s="537"/>
      <c r="S95" s="537"/>
      <c r="T95" s="537"/>
      <c r="U95" s="537"/>
      <c r="V95" s="538" t="s">
        <v>1576</v>
      </c>
      <c r="W95" s="539">
        <f>SUMIF(N44:N53,2,W44:W53)+SUMIF(N62:N71,2,W62:W71)+SUMIF(N80:N89,2,W80:W89)</f>
        <v>0</v>
      </c>
      <c r="X95" s="540">
        <f t="shared" ref="X95:X96" si="25">W95*0.001</f>
        <v>0</v>
      </c>
      <c r="Z95" s="536"/>
      <c r="AA95" s="537"/>
      <c r="AB95" s="537"/>
      <c r="AC95" s="537"/>
      <c r="AD95" s="537"/>
      <c r="AE95" s="537"/>
      <c r="AF95" s="537"/>
      <c r="AG95" s="537"/>
      <c r="AH95" s="538" t="s">
        <v>1576</v>
      </c>
      <c r="AI95" s="539">
        <f>SUMIF(Z44:Z53,2,AI44:AI53)+SUMIF(Z62:Z71,2,AI62:AI71)+SUMIF(Z80:Z89,2,AI80:AI89)</f>
        <v>0</v>
      </c>
      <c r="AJ95" s="540">
        <f>AI95*0.001</f>
        <v>0</v>
      </c>
    </row>
    <row r="96" spans="1:36" ht="15" customHeight="1">
      <c r="B96" s="536"/>
      <c r="C96" s="537"/>
      <c r="D96" s="537"/>
      <c r="E96" s="537"/>
      <c r="F96" s="537"/>
      <c r="G96" s="537"/>
      <c r="H96" s="537"/>
      <c r="I96" s="537"/>
      <c r="J96" s="538" t="s">
        <v>1577</v>
      </c>
      <c r="K96" s="539">
        <f>SUMIF(B44:B53,3,K44:K53)+SUMIF(B62:B71,3,K62:K71)+SUMIF(B80:B89,3,K80:K89)</f>
        <v>11885.800739972166</v>
      </c>
      <c r="L96" s="540">
        <f t="shared" si="24"/>
        <v>11.885800739972167</v>
      </c>
      <c r="N96" s="536"/>
      <c r="O96" s="537"/>
      <c r="P96" s="537"/>
      <c r="Q96" s="537"/>
      <c r="R96" s="537"/>
      <c r="S96" s="537"/>
      <c r="T96" s="537"/>
      <c r="U96" s="537"/>
      <c r="V96" s="538" t="s">
        <v>1577</v>
      </c>
      <c r="W96" s="539">
        <f>SUMIF(N44:N53,3,W44:W53)+SUMIF(N62:N71,3,W62:W71)+SUMIF(N80:N89,3,W80:W89)</f>
        <v>0</v>
      </c>
      <c r="X96" s="540">
        <f t="shared" si="25"/>
        <v>0</v>
      </c>
      <c r="Z96" s="536"/>
      <c r="AA96" s="537"/>
      <c r="AB96" s="537"/>
      <c r="AC96" s="537"/>
      <c r="AD96" s="537"/>
      <c r="AE96" s="537"/>
      <c r="AF96" s="537"/>
      <c r="AG96" s="537"/>
      <c r="AH96" s="538" t="s">
        <v>1577</v>
      </c>
      <c r="AI96" s="539">
        <f>SUMIF(Z44:Z53,3,AI44:AI53)+SUMIF(Z62:Z71,3,AI62:AI71)+SUMIF(Z80:Z89,3,AI80:AI89)</f>
        <v>0</v>
      </c>
      <c r="AJ96" s="540">
        <f t="shared" ref="AJ96" si="26">AI96*0.001</f>
        <v>0</v>
      </c>
    </row>
    <row r="102" spans="1:1" ht="15" customHeight="1">
      <c r="A102" s="297"/>
    </row>
  </sheetData>
  <mergeCells count="165">
    <mergeCell ref="N40:N43"/>
    <mergeCell ref="AI76:AJ78"/>
    <mergeCell ref="AA80:AB80"/>
    <mergeCell ref="AA81:AB81"/>
    <mergeCell ref="AI40:AJ42"/>
    <mergeCell ref="AA44:AB44"/>
    <mergeCell ref="AA45:AB45"/>
    <mergeCell ref="AH40:AH43"/>
    <mergeCell ref="Z58:Z61"/>
    <mergeCell ref="AA58:AB61"/>
    <mergeCell ref="AC58:AC61"/>
    <mergeCell ref="AD58:AD60"/>
    <mergeCell ref="AF58:AF61"/>
    <mergeCell ref="AG58:AG61"/>
    <mergeCell ref="AI58:AJ60"/>
    <mergeCell ref="AA64:AB64"/>
    <mergeCell ref="AA65:AB65"/>
    <mergeCell ref="AA66:AB66"/>
    <mergeCell ref="AA67:AB67"/>
    <mergeCell ref="AA68:AB68"/>
    <mergeCell ref="AA69:AB69"/>
    <mergeCell ref="AA70:AB70"/>
    <mergeCell ref="AA71:AB71"/>
    <mergeCell ref="AH76:AH79"/>
    <mergeCell ref="Z40:Z43"/>
    <mergeCell ref="AA40:AB43"/>
    <mergeCell ref="AC40:AC43"/>
    <mergeCell ref="AD40:AD42"/>
    <mergeCell ref="AF40:AF43"/>
    <mergeCell ref="AG40:AG43"/>
    <mergeCell ref="AA62:AB62"/>
    <mergeCell ref="AA63:AB63"/>
    <mergeCell ref="Z76:Z79"/>
    <mergeCell ref="AA76:AB79"/>
    <mergeCell ref="AC76:AC79"/>
    <mergeCell ref="AD76:AD78"/>
    <mergeCell ref="AF76:AF79"/>
    <mergeCell ref="AG76:AG79"/>
    <mergeCell ref="AA46:AB46"/>
    <mergeCell ref="AA47:AB47"/>
    <mergeCell ref="AA48:AB48"/>
    <mergeCell ref="AA49:AB49"/>
    <mergeCell ref="AA50:AB50"/>
    <mergeCell ref="AA51:AB51"/>
    <mergeCell ref="AA52:AB52"/>
    <mergeCell ref="K40:L42"/>
    <mergeCell ref="K58:L60"/>
    <mergeCell ref="J40:J43"/>
    <mergeCell ref="J76:J79"/>
    <mergeCell ref="K76:L78"/>
    <mergeCell ref="C62:D62"/>
    <mergeCell ref="C46:D46"/>
    <mergeCell ref="C47:D47"/>
    <mergeCell ref="C48:D48"/>
    <mergeCell ref="C49:D49"/>
    <mergeCell ref="C50:D50"/>
    <mergeCell ref="C63:D63"/>
    <mergeCell ref="C64:D64"/>
    <mergeCell ref="C65:D65"/>
    <mergeCell ref="C71:D71"/>
    <mergeCell ref="C66:D66"/>
    <mergeCell ref="C67:D67"/>
    <mergeCell ref="H40:H43"/>
    <mergeCell ref="H58:H61"/>
    <mergeCell ref="H76:H79"/>
    <mergeCell ref="I40:I43"/>
    <mergeCell ref="J58:J61"/>
    <mergeCell ref="I76:I79"/>
    <mergeCell ref="I58:I61"/>
    <mergeCell ref="B76:B79"/>
    <mergeCell ref="E58:E61"/>
    <mergeCell ref="B58:B61"/>
    <mergeCell ref="B40:B43"/>
    <mergeCell ref="E40:E43"/>
    <mergeCell ref="F76:F78"/>
    <mergeCell ref="C40:D43"/>
    <mergeCell ref="C44:D44"/>
    <mergeCell ref="C45:D45"/>
    <mergeCell ref="C51:D51"/>
    <mergeCell ref="C52:D52"/>
    <mergeCell ref="C53:D53"/>
    <mergeCell ref="C58:D61"/>
    <mergeCell ref="C68:D68"/>
    <mergeCell ref="C69:D69"/>
    <mergeCell ref="C70:D70"/>
    <mergeCell ref="E76:E79"/>
    <mergeCell ref="C76:D79"/>
    <mergeCell ref="F58:F60"/>
    <mergeCell ref="F40:F42"/>
    <mergeCell ref="O40:P43"/>
    <mergeCell ref="Q40:Q43"/>
    <mergeCell ref="R40:R42"/>
    <mergeCell ref="T40:T43"/>
    <mergeCell ref="V40:V43"/>
    <mergeCell ref="W40:X42"/>
    <mergeCell ref="O50:P50"/>
    <mergeCell ref="O51:P51"/>
    <mergeCell ref="O52:P52"/>
    <mergeCell ref="U40:U43"/>
    <mergeCell ref="O44:P44"/>
    <mergeCell ref="O53:P53"/>
    <mergeCell ref="N58:N61"/>
    <mergeCell ref="O58:P61"/>
    <mergeCell ref="O45:P45"/>
    <mergeCell ref="O46:P46"/>
    <mergeCell ref="O47:P47"/>
    <mergeCell ref="O48:P48"/>
    <mergeCell ref="O49:P49"/>
    <mergeCell ref="R58:R60"/>
    <mergeCell ref="U58:U61"/>
    <mergeCell ref="T58:T61"/>
    <mergeCell ref="V58:V61"/>
    <mergeCell ref="W58:X60"/>
    <mergeCell ref="U76:U79"/>
    <mergeCell ref="O70:P70"/>
    <mergeCell ref="O71:P71"/>
    <mergeCell ref="N76:N79"/>
    <mergeCell ref="O76:P79"/>
    <mergeCell ref="Q76:Q79"/>
    <mergeCell ref="R76:R78"/>
    <mergeCell ref="T76:T79"/>
    <mergeCell ref="V76:V79"/>
    <mergeCell ref="W76:X78"/>
    <mergeCell ref="O65:P65"/>
    <mergeCell ref="O66:P66"/>
    <mergeCell ref="O67:P67"/>
    <mergeCell ref="O68:P68"/>
    <mergeCell ref="O69:P69"/>
    <mergeCell ref="O62:P62"/>
    <mergeCell ref="O63:P63"/>
    <mergeCell ref="O64:P64"/>
    <mergeCell ref="Q58:Q61"/>
    <mergeCell ref="AH58:AH61"/>
    <mergeCell ref="AA53:AB53"/>
    <mergeCell ref="AA88:AB88"/>
    <mergeCell ref="AA89:AB89"/>
    <mergeCell ref="AE92:AH92"/>
    <mergeCell ref="C86:D86"/>
    <mergeCell ref="C87:D87"/>
    <mergeCell ref="C88:D88"/>
    <mergeCell ref="C89:D89"/>
    <mergeCell ref="O89:P89"/>
    <mergeCell ref="S92:V92"/>
    <mergeCell ref="O86:P86"/>
    <mergeCell ref="O87:P87"/>
    <mergeCell ref="O88:P88"/>
    <mergeCell ref="G92:J92"/>
    <mergeCell ref="C80:D80"/>
    <mergeCell ref="C81:D81"/>
    <mergeCell ref="C82:D82"/>
    <mergeCell ref="C83:D83"/>
    <mergeCell ref="C84:D84"/>
    <mergeCell ref="C85:D85"/>
    <mergeCell ref="AA85:AB85"/>
    <mergeCell ref="AA86:AB86"/>
    <mergeCell ref="AA87:AB87"/>
    <mergeCell ref="AA82:AB82"/>
    <mergeCell ref="AA83:AB83"/>
    <mergeCell ref="AA84:AB84"/>
    <mergeCell ref="O80:P80"/>
    <mergeCell ref="O81:P81"/>
    <mergeCell ref="O82:P82"/>
    <mergeCell ref="O83:P83"/>
    <mergeCell ref="O84:P84"/>
    <mergeCell ref="O85:P85"/>
  </mergeCells>
  <conditionalFormatting sqref="J44:J53">
    <cfRule type="expression" dxfId="104" priority="19">
      <formula>$F44="Ei"</formula>
    </cfRule>
  </conditionalFormatting>
  <conditionalFormatting sqref="J80:J89">
    <cfRule type="expression" dxfId="103" priority="20">
      <formula>$F80="Ei"</formula>
    </cfRule>
  </conditionalFormatting>
  <conditionalFormatting sqref="J62:J71">
    <cfRule type="expression" dxfId="102" priority="16">
      <formula>$F62="Ei"</formula>
    </cfRule>
  </conditionalFormatting>
  <conditionalFormatting sqref="V80:V89">
    <cfRule type="expression" dxfId="101" priority="9">
      <formula>$R80="Ei"</formula>
    </cfRule>
  </conditionalFormatting>
  <conditionalFormatting sqref="V62:V71">
    <cfRule type="expression" dxfId="100" priority="7">
      <formula>$R62="Ei"</formula>
    </cfRule>
  </conditionalFormatting>
  <conditionalFormatting sqref="AH80:AH89">
    <cfRule type="expression" dxfId="99" priority="6">
      <formula>$AD80="Ei"</formula>
    </cfRule>
  </conditionalFormatting>
  <conditionalFormatting sqref="AH62:AH71">
    <cfRule type="expression" dxfId="98" priority="4">
      <formula>$AD62="Ei"</formula>
    </cfRule>
  </conditionalFormatting>
  <conditionalFormatting sqref="V44:V53">
    <cfRule type="expression" dxfId="97" priority="3">
      <formula>$R44="Ei"</formula>
    </cfRule>
  </conditionalFormatting>
  <conditionalFormatting sqref="AH44:AH53">
    <cfRule type="expression" dxfId="96" priority="1">
      <formula>$AD44="Ei"</formula>
    </cfRule>
  </conditionalFormatting>
  <hyperlinks>
    <hyperlink ref="A2" location="Sisukord!A1" display="Sisukord"/>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'HT-Sõidukikütused (M1)'!$B$21:$B$37</xm:f>
          </x14:formula1>
          <xm:sqref>C62:C71 D63:D71 O62:O71 P63:P71 AA62:AA71 AB63:AB71</xm:sqref>
        </x14:dataValidation>
        <x14:dataValidation type="list" allowBlank="1" showInputMessage="1" showErrorMessage="1">
          <x14:formula1>
            <xm:f>'HT-Sõidukikütused (M1)'!$B$5:$B$16</xm:f>
          </x14:formula1>
          <xm:sqref>C44:C53 D45:D53 O44:O53 P45:P53 AA44:AA53 AB45:AB53</xm:sqref>
        </x14:dataValidation>
        <x14:dataValidation type="list" allowBlank="1" showInputMessage="1" showErrorMessage="1">
          <x14:formula1>
            <xm:f>Viited!$B$65:$B$66</xm:f>
          </x14:formula1>
          <xm:sqref>G90:H90 G56:H56 G54:H54 F44:F53 G72:H74 F80:F89 F62:F71 S90:T90 S56:T56 S54:T54 R44:R53 S72:T74 R80:R89 R62:R71 AE90:AF90 AE56:AF56 AE54:AF54 AD44:AD53 AE72:AF74 AD80:AD89 AD62:AD71</xm:sqref>
        </x14:dataValidation>
        <x14:dataValidation type="list" allowBlank="1" showInputMessage="1" showErrorMessage="1">
          <x14:formula1>
            <xm:f>'HT-Sõidukikütused (M1)'!$B$42:$B$60</xm:f>
          </x14:formula1>
          <xm:sqref>D81:D89 C80:C89 P81:P89 O80:O89 AB81:AB89 AA80:AA89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sheetPr>
  <dimension ref="A1:AN82"/>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E7" sqref="E7"/>
    </sheetView>
  </sheetViews>
  <sheetFormatPr defaultColWidth="9.453125" defaultRowHeight="15"/>
  <cols>
    <col min="1" max="1" width="7.1796875" style="302" customWidth="1"/>
    <col min="2" max="2" width="9.7265625" style="297" customWidth="1"/>
    <col min="3" max="3" width="9.54296875" style="297" customWidth="1"/>
    <col min="4" max="4" width="34.54296875" style="297" customWidth="1"/>
    <col min="5" max="5" width="16.7265625" style="297" customWidth="1"/>
    <col min="6" max="6" width="13.54296875" style="297" customWidth="1"/>
    <col min="7" max="7" width="40.54296875" style="297" customWidth="1"/>
    <col min="8" max="9" width="14" style="297" customWidth="1"/>
    <col min="10" max="10" width="8.54296875" style="297" customWidth="1"/>
    <col min="11" max="11" width="9.7265625" style="297" customWidth="1"/>
    <col min="12" max="12" width="9.54296875" style="297" customWidth="1"/>
    <col min="13" max="13" width="34.54296875" style="297" customWidth="1"/>
    <col min="14" max="14" width="16.7265625" style="297" customWidth="1"/>
    <col min="15" max="15" width="13.54296875" style="297" customWidth="1"/>
    <col min="16" max="16" width="40.54296875" style="297" customWidth="1"/>
    <col min="17" max="18" width="14" style="297" customWidth="1"/>
    <col min="19" max="19" width="8.54296875" style="297" customWidth="1"/>
    <col min="20" max="20" width="9.7265625" style="297" customWidth="1"/>
    <col min="21" max="21" width="9.54296875" style="297" customWidth="1"/>
    <col min="22" max="22" width="34.54296875" style="297" customWidth="1"/>
    <col min="23" max="23" width="16.7265625" style="297" customWidth="1"/>
    <col min="24" max="24" width="13.54296875" style="297" customWidth="1"/>
    <col min="25" max="25" width="40.54296875" style="297" customWidth="1"/>
    <col min="26" max="27" width="14" style="297" customWidth="1"/>
    <col min="28" max="43" width="8.54296875" style="297" customWidth="1"/>
    <col min="44" max="16384" width="9.453125" style="297"/>
  </cols>
  <sheetData>
    <row r="1" spans="1:9" s="396" customFormat="1" ht="21" customHeight="1">
      <c r="A1" s="293"/>
      <c r="B1" s="291" t="s">
        <v>93</v>
      </c>
      <c r="C1" s="319"/>
    </row>
    <row r="2" spans="1:9" ht="14">
      <c r="A2" s="295" t="s">
        <v>1</v>
      </c>
      <c r="B2" s="516" t="s">
        <v>1747</v>
      </c>
      <c r="C2" s="517"/>
      <c r="D2" s="517"/>
      <c r="E2" s="517"/>
      <c r="F2" s="517"/>
      <c r="G2" s="517"/>
      <c r="H2" s="517"/>
      <c r="I2" s="518"/>
    </row>
    <row r="3" spans="1:9" ht="14">
      <c r="A3" s="297"/>
      <c r="B3" s="519" t="s">
        <v>94</v>
      </c>
      <c r="I3" s="520"/>
    </row>
    <row r="4" spans="1:9" ht="16">
      <c r="A4" s="297"/>
      <c r="B4" s="519" t="s">
        <v>2120</v>
      </c>
      <c r="I4" s="520"/>
    </row>
    <row r="5" spans="1:9" ht="14">
      <c r="A5" s="297"/>
      <c r="B5" s="519" t="s">
        <v>1901</v>
      </c>
      <c r="I5" s="520"/>
    </row>
    <row r="6" spans="1:9" ht="14">
      <c r="A6" s="297"/>
      <c r="B6" s="519" t="s">
        <v>1739</v>
      </c>
      <c r="I6" s="520"/>
    </row>
    <row r="7" spans="1:9" ht="14">
      <c r="A7" s="297"/>
      <c r="B7" s="519" t="s">
        <v>1902</v>
      </c>
      <c r="I7" s="520"/>
    </row>
    <row r="8" spans="1:9" ht="16">
      <c r="A8" s="297"/>
      <c r="B8" s="519" t="s">
        <v>2121</v>
      </c>
      <c r="I8" s="520"/>
    </row>
    <row r="9" spans="1:9" ht="14">
      <c r="A9" s="297"/>
      <c r="B9" s="519"/>
      <c r="I9" s="520"/>
    </row>
    <row r="10" spans="1:9" ht="14">
      <c r="A10" s="297"/>
      <c r="B10" s="554" t="s">
        <v>66</v>
      </c>
      <c r="C10" s="296"/>
      <c r="I10" s="520"/>
    </row>
    <row r="11" spans="1:9" ht="14">
      <c r="A11" s="297"/>
      <c r="B11" s="519" t="s">
        <v>2205</v>
      </c>
      <c r="I11" s="520"/>
    </row>
    <row r="12" spans="1:9" ht="14">
      <c r="A12" s="297"/>
      <c r="B12" s="521" t="s">
        <v>1449</v>
      </c>
      <c r="C12" s="522"/>
      <c r="I12" s="520"/>
    </row>
    <row r="13" spans="1:9" ht="14">
      <c r="A13" s="297"/>
      <c r="B13" s="519" t="s">
        <v>2184</v>
      </c>
      <c r="I13" s="520"/>
    </row>
    <row r="14" spans="1:9" ht="14">
      <c r="A14" s="297"/>
      <c r="B14" s="519" t="s">
        <v>1662</v>
      </c>
      <c r="I14" s="520"/>
    </row>
    <row r="15" spans="1:9" ht="14">
      <c r="A15" s="297"/>
      <c r="B15" s="519" t="s">
        <v>1740</v>
      </c>
      <c r="I15" s="520"/>
    </row>
    <row r="16" spans="1:9" ht="14">
      <c r="A16" s="297"/>
      <c r="B16" s="519" t="s">
        <v>1742</v>
      </c>
      <c r="I16" s="520"/>
    </row>
    <row r="17" spans="1:40" ht="14">
      <c r="A17" s="297"/>
      <c r="B17" s="519" t="s">
        <v>1743</v>
      </c>
      <c r="I17" s="520"/>
    </row>
    <row r="18" spans="1:40" ht="16">
      <c r="A18" s="297"/>
      <c r="B18" s="519" t="s">
        <v>2188</v>
      </c>
      <c r="D18" s="659"/>
      <c r="E18" s="302"/>
      <c r="F18" s="302"/>
      <c r="G18" s="302"/>
      <c r="H18" s="302"/>
      <c r="I18" s="520"/>
    </row>
    <row r="19" spans="1:40">
      <c r="A19" s="297"/>
      <c r="B19" s="519" t="s">
        <v>1745</v>
      </c>
      <c r="D19" s="659"/>
      <c r="E19" s="302"/>
      <c r="F19" s="302"/>
      <c r="G19" s="302"/>
      <c r="H19" s="302"/>
      <c r="I19" s="520"/>
    </row>
    <row r="20" spans="1:40">
      <c r="A20" s="297"/>
      <c r="B20" s="519"/>
      <c r="D20" s="659"/>
      <c r="E20" s="302"/>
      <c r="F20" s="302"/>
      <c r="G20" s="302"/>
      <c r="H20" s="302"/>
      <c r="I20" s="520"/>
    </row>
    <row r="21" spans="1:40">
      <c r="A21" s="297"/>
      <c r="B21" s="523" t="s">
        <v>1746</v>
      </c>
      <c r="C21" s="584"/>
      <c r="D21" s="660"/>
      <c r="E21" s="675"/>
      <c r="F21" s="675"/>
      <c r="G21" s="675"/>
      <c r="H21" s="675"/>
      <c r="I21" s="525"/>
    </row>
    <row r="22" spans="1:40" ht="14.5" thickBot="1">
      <c r="A22" s="297"/>
    </row>
    <row r="23" spans="1:40" thickTop="1" thickBot="1">
      <c r="A23" s="297"/>
      <c r="B23" s="502" t="s">
        <v>55</v>
      </c>
      <c r="C23" s="526">
        <f>Organisatsioon!B23</f>
        <v>2021</v>
      </c>
      <c r="K23" s="502" t="s">
        <v>55</v>
      </c>
      <c r="L23" s="526">
        <f>Organisatsioon!B24</f>
        <v>2022</v>
      </c>
      <c r="T23" s="502" t="s">
        <v>55</v>
      </c>
      <c r="U23" s="526">
        <f>Organisatsioon!B25</f>
        <v>2023</v>
      </c>
    </row>
    <row r="24" spans="1:40" ht="14.5" thickTop="1">
      <c r="A24" s="297"/>
    </row>
    <row r="25" spans="1:40" s="302" customFormat="1" ht="15" customHeight="1">
      <c r="B25" s="308" t="s">
        <v>1831</v>
      </c>
      <c r="C25" s="543"/>
      <c r="D25" s="543"/>
      <c r="E25" s="543"/>
      <c r="F25" s="543"/>
      <c r="G25" s="543"/>
      <c r="H25" s="543"/>
      <c r="I25" s="544"/>
      <c r="J25" s="297"/>
      <c r="K25" s="308" t="s">
        <v>1831</v>
      </c>
      <c r="L25" s="543"/>
      <c r="M25" s="543"/>
      <c r="N25" s="543"/>
      <c r="O25" s="543"/>
      <c r="P25" s="543"/>
      <c r="Q25" s="543"/>
      <c r="R25" s="544"/>
      <c r="T25" s="308" t="s">
        <v>1831</v>
      </c>
      <c r="U25" s="543"/>
      <c r="V25" s="543"/>
      <c r="W25" s="543"/>
      <c r="X25" s="543"/>
      <c r="Y25" s="543"/>
      <c r="Z25" s="543"/>
      <c r="AA25" s="544"/>
    </row>
    <row r="26" spans="1:40" s="679" customFormat="1" ht="15" customHeight="1">
      <c r="A26" s="302"/>
      <c r="B26" s="926" t="s">
        <v>57</v>
      </c>
      <c r="C26" s="918" t="s">
        <v>95</v>
      </c>
      <c r="D26" s="919"/>
      <c r="E26" s="915" t="s">
        <v>96</v>
      </c>
      <c r="F26" s="915" t="s">
        <v>97</v>
      </c>
      <c r="G26" s="915" t="s">
        <v>98</v>
      </c>
      <c r="H26" s="918" t="s">
        <v>72</v>
      </c>
      <c r="I26" s="919"/>
      <c r="K26" s="926" t="s">
        <v>57</v>
      </c>
      <c r="L26" s="918" t="s">
        <v>95</v>
      </c>
      <c r="M26" s="919"/>
      <c r="N26" s="915" t="s">
        <v>96</v>
      </c>
      <c r="O26" s="915" t="s">
        <v>97</v>
      </c>
      <c r="P26" s="915" t="s">
        <v>98</v>
      </c>
      <c r="Q26" s="918" t="s">
        <v>72</v>
      </c>
      <c r="R26" s="919"/>
      <c r="S26" s="297"/>
      <c r="T26" s="926" t="s">
        <v>57</v>
      </c>
      <c r="U26" s="918" t="s">
        <v>95</v>
      </c>
      <c r="V26" s="919"/>
      <c r="W26" s="915" t="s">
        <v>96</v>
      </c>
      <c r="X26" s="915" t="s">
        <v>97</v>
      </c>
      <c r="Y26" s="915" t="s">
        <v>98</v>
      </c>
      <c r="Z26" s="918" t="s">
        <v>72</v>
      </c>
      <c r="AA26" s="919"/>
      <c r="AB26" s="297"/>
      <c r="AC26" s="297"/>
      <c r="AD26" s="297"/>
      <c r="AE26" s="297"/>
      <c r="AF26" s="297"/>
      <c r="AG26" s="297"/>
      <c r="AH26" s="297"/>
      <c r="AI26" s="297"/>
      <c r="AJ26" s="297"/>
      <c r="AK26" s="297"/>
      <c r="AL26" s="297"/>
      <c r="AM26" s="297"/>
      <c r="AN26" s="297"/>
    </row>
    <row r="27" spans="1:40" s="679" customFormat="1" ht="15" customHeight="1">
      <c r="A27" s="302"/>
      <c r="B27" s="926"/>
      <c r="C27" s="918"/>
      <c r="D27" s="919"/>
      <c r="E27" s="915"/>
      <c r="F27" s="915"/>
      <c r="G27" s="915"/>
      <c r="H27" s="918"/>
      <c r="I27" s="919"/>
      <c r="K27" s="926"/>
      <c r="L27" s="918"/>
      <c r="M27" s="919"/>
      <c r="N27" s="915"/>
      <c r="O27" s="915"/>
      <c r="P27" s="915"/>
      <c r="Q27" s="918"/>
      <c r="R27" s="919"/>
      <c r="S27" s="297"/>
      <c r="T27" s="926"/>
      <c r="U27" s="918"/>
      <c r="V27" s="919"/>
      <c r="W27" s="915"/>
      <c r="X27" s="915"/>
      <c r="Y27" s="915"/>
      <c r="Z27" s="918"/>
      <c r="AA27" s="919"/>
      <c r="AB27" s="297"/>
      <c r="AC27" s="297"/>
      <c r="AD27" s="297"/>
      <c r="AE27" s="297"/>
      <c r="AF27" s="297"/>
      <c r="AG27" s="297"/>
      <c r="AH27" s="297"/>
      <c r="AI27" s="297"/>
      <c r="AJ27" s="297"/>
      <c r="AK27" s="297"/>
      <c r="AL27" s="297"/>
      <c r="AM27" s="297"/>
      <c r="AN27" s="297"/>
    </row>
    <row r="28" spans="1:40" s="679" customFormat="1" ht="15" customHeight="1">
      <c r="A28" s="302"/>
      <c r="B28" s="926"/>
      <c r="C28" s="918"/>
      <c r="D28" s="919"/>
      <c r="E28" s="922"/>
      <c r="F28" s="922"/>
      <c r="G28" s="915"/>
      <c r="H28" s="918"/>
      <c r="I28" s="919"/>
      <c r="K28" s="926"/>
      <c r="L28" s="918"/>
      <c r="M28" s="919"/>
      <c r="N28" s="922"/>
      <c r="O28" s="922"/>
      <c r="P28" s="915"/>
      <c r="Q28" s="918"/>
      <c r="R28" s="919"/>
      <c r="S28" s="297"/>
      <c r="T28" s="926"/>
      <c r="U28" s="918"/>
      <c r="V28" s="919"/>
      <c r="W28" s="922"/>
      <c r="X28" s="922"/>
      <c r="Y28" s="915"/>
      <c r="Z28" s="918"/>
      <c r="AA28" s="919"/>
      <c r="AB28" s="297"/>
      <c r="AC28" s="297"/>
      <c r="AD28" s="297"/>
      <c r="AE28" s="297"/>
      <c r="AF28" s="297"/>
      <c r="AG28" s="297"/>
      <c r="AH28" s="297"/>
      <c r="AI28" s="297"/>
      <c r="AJ28" s="297"/>
      <c r="AK28" s="297"/>
      <c r="AL28" s="297"/>
      <c r="AM28" s="297"/>
      <c r="AN28" s="297"/>
    </row>
    <row r="29" spans="1:40" s="679" customFormat="1" ht="15" customHeight="1">
      <c r="A29" s="302"/>
      <c r="B29" s="927"/>
      <c r="C29" s="920"/>
      <c r="D29" s="921"/>
      <c r="E29" s="527" t="s">
        <v>84</v>
      </c>
      <c r="F29" s="571" t="s">
        <v>1741</v>
      </c>
      <c r="G29" s="922"/>
      <c r="H29" s="527" t="s">
        <v>2085</v>
      </c>
      <c r="I29" s="527" t="s">
        <v>2086</v>
      </c>
      <c r="K29" s="927"/>
      <c r="L29" s="920"/>
      <c r="M29" s="921"/>
      <c r="N29" s="527" t="s">
        <v>84</v>
      </c>
      <c r="O29" s="571" t="s">
        <v>1741</v>
      </c>
      <c r="P29" s="922"/>
      <c r="Q29" s="527" t="s">
        <v>2085</v>
      </c>
      <c r="R29" s="527" t="s">
        <v>2086</v>
      </c>
      <c r="S29" s="297"/>
      <c r="T29" s="927"/>
      <c r="U29" s="920"/>
      <c r="V29" s="921"/>
      <c r="W29" s="527" t="s">
        <v>84</v>
      </c>
      <c r="X29" s="571" t="s">
        <v>1741</v>
      </c>
      <c r="Y29" s="922"/>
      <c r="Z29" s="527" t="s">
        <v>2085</v>
      </c>
      <c r="AA29" s="527" t="s">
        <v>2086</v>
      </c>
      <c r="AB29" s="297"/>
      <c r="AC29" s="297"/>
      <c r="AD29" s="297"/>
      <c r="AE29" s="297"/>
      <c r="AF29" s="297"/>
      <c r="AG29" s="297"/>
      <c r="AH29" s="297"/>
      <c r="AI29" s="297"/>
      <c r="AJ29" s="297"/>
      <c r="AK29" s="297"/>
      <c r="AL29" s="297"/>
      <c r="AM29" s="297"/>
      <c r="AN29" s="297"/>
    </row>
    <row r="30" spans="1:40" s="302" customFormat="1" ht="15" customHeight="1">
      <c r="B30" s="618">
        <v>1</v>
      </c>
      <c r="C30" s="923" t="s">
        <v>209</v>
      </c>
      <c r="D30" s="924"/>
      <c r="E30" s="680">
        <v>5</v>
      </c>
      <c r="F30" s="681">
        <f>LOOKUP(C30,'HT-Hajusheitmed (M1)'!$B$4:$B$116,'HT-Hajusheitmed (M1)'!$D$4:$D$116)</f>
        <v>1370</v>
      </c>
      <c r="G30" s="682" t="str">
        <f>LOOKUP(C30,'HT-Hajusheitmed (M1)'!$B$4:$B$116,'HT-Hajusheitmed (M1)'!$E$4:$E$116)</f>
        <v>IPCC AR4</v>
      </c>
      <c r="H30" s="683">
        <f>E30*F30</f>
        <v>6850</v>
      </c>
      <c r="I30" s="528">
        <f>H30*0.001</f>
        <v>6.8500000000000005</v>
      </c>
      <c r="K30" s="618">
        <v>1</v>
      </c>
      <c r="L30" s="923" t="s">
        <v>201</v>
      </c>
      <c r="M30" s="924"/>
      <c r="N30" s="680">
        <v>3</v>
      </c>
      <c r="O30" s="681">
        <f>LOOKUP(L30,'HT-Hajusheitmed (M1)'!$B$4:$B$116,'HT-Hajusheitmed (M1)'!$D$4:$D$116)</f>
        <v>353</v>
      </c>
      <c r="P30" s="682" t="str">
        <f>LOOKUP(L30,'HT-Hajusheitmed (M1)'!$B$4:$B$116,'HT-Hajusheitmed (M1)'!$E$4:$E$116)</f>
        <v>IPCC AR4</v>
      </c>
      <c r="Q30" s="683">
        <f>N30*O30</f>
        <v>1059</v>
      </c>
      <c r="R30" s="528">
        <f>Q30*0.001</f>
        <v>1.0589999999999999</v>
      </c>
      <c r="S30" s="297"/>
      <c r="T30" s="618">
        <v>2</v>
      </c>
      <c r="U30" s="923" t="s">
        <v>291</v>
      </c>
      <c r="V30" s="924"/>
      <c r="W30" s="680">
        <v>4</v>
      </c>
      <c r="X30" s="681">
        <f>LOOKUP(U30,'HT-Hajusheitmed (M1)'!$B$4:$B$116,'HT-Hajusheitmed (M1)'!$D$4:$D$116)</f>
        <v>12</v>
      </c>
      <c r="Y30" s="682" t="str">
        <f>LOOKUP(U30,'HT-Hajusheitmed (M1)'!$B$4:$B$116,'HT-Hajusheitmed (M1)'!$E$4:$E$116)</f>
        <v>IPCC AR4</v>
      </c>
      <c r="Z30" s="683">
        <f>W30*X30</f>
        <v>48</v>
      </c>
      <c r="AA30" s="528">
        <f>Z30*0.001</f>
        <v>4.8000000000000001E-2</v>
      </c>
      <c r="AB30" s="297"/>
      <c r="AC30" s="297"/>
      <c r="AD30" s="297"/>
      <c r="AE30" s="297"/>
      <c r="AF30" s="297"/>
      <c r="AG30" s="297"/>
      <c r="AH30" s="297"/>
      <c r="AI30" s="297"/>
      <c r="AJ30" s="297"/>
      <c r="AK30" s="297"/>
      <c r="AL30" s="297"/>
      <c r="AM30" s="297"/>
      <c r="AN30" s="297"/>
    </row>
    <row r="31" spans="1:40" s="302" customFormat="1" ht="15" customHeight="1">
      <c r="B31" s="618">
        <v>2</v>
      </c>
      <c r="C31" s="923" t="s">
        <v>275</v>
      </c>
      <c r="D31" s="924"/>
      <c r="E31" s="680">
        <v>5</v>
      </c>
      <c r="F31" s="681">
        <f>LOOKUP(C31,'HT-Hajusheitmed (M1)'!$B$4:$B$116,'HT-Hajusheitmed (M1)'!$D$4:$D$116)</f>
        <v>2967</v>
      </c>
      <c r="G31" s="682" t="str">
        <f>LOOKUP(C31,'HT-Hajusheitmed (M1)'!$B$4:$B$116,'HT-Hajusheitmed (M1)'!$E$4:$E$116)</f>
        <v>IPCC AR4</v>
      </c>
      <c r="H31" s="683">
        <f t="shared" ref="H31:H39" si="0">E31*F31</f>
        <v>14835</v>
      </c>
      <c r="I31" s="528">
        <f t="shared" ref="I31:I39" si="1">H31*0.001</f>
        <v>14.835000000000001</v>
      </c>
      <c r="K31" s="618"/>
      <c r="L31" s="923"/>
      <c r="M31" s="924"/>
      <c r="N31" s="680"/>
      <c r="O31" s="681" t="e">
        <f>LOOKUP(L31,'HT-Hajusheitmed (M1)'!$B$4:$B$116,'HT-Hajusheitmed (M1)'!$D$4:$D$116)</f>
        <v>#N/A</v>
      </c>
      <c r="P31" s="682" t="e">
        <f>LOOKUP(L31,'HT-Hajusheitmed (M1)'!$B$4:$B$116,'HT-Hajusheitmed (M1)'!$E$4:$E$116)</f>
        <v>#N/A</v>
      </c>
      <c r="Q31" s="683" t="e">
        <f t="shared" ref="Q31:Q39" si="2">N31*O31</f>
        <v>#N/A</v>
      </c>
      <c r="R31" s="528" t="e">
        <f t="shared" ref="R31:R39" si="3">Q31*0.001</f>
        <v>#N/A</v>
      </c>
      <c r="S31" s="297"/>
      <c r="T31" s="618"/>
      <c r="U31" s="923"/>
      <c r="V31" s="924"/>
      <c r="W31" s="680"/>
      <c r="X31" s="681" t="e">
        <f>LOOKUP(U31,'HT-Hajusheitmed (M1)'!$B$4:$B$116,'HT-Hajusheitmed (M1)'!$D$4:$D$116)</f>
        <v>#N/A</v>
      </c>
      <c r="Y31" s="682" t="e">
        <f>LOOKUP(U31,'HT-Hajusheitmed (M1)'!$B$4:$B$116,'HT-Hajusheitmed (M1)'!$E$4:$E$116)</f>
        <v>#N/A</v>
      </c>
      <c r="Z31" s="683" t="e">
        <f t="shared" ref="Z31:Z39" si="4">W31*X31</f>
        <v>#N/A</v>
      </c>
      <c r="AA31" s="528" t="e">
        <f t="shared" ref="AA31:AA39" si="5">Z31*0.001</f>
        <v>#N/A</v>
      </c>
      <c r="AB31" s="297"/>
      <c r="AC31" s="297"/>
      <c r="AD31" s="297"/>
      <c r="AE31" s="297"/>
      <c r="AF31" s="297"/>
      <c r="AG31" s="297"/>
      <c r="AH31" s="297"/>
      <c r="AI31" s="297"/>
      <c r="AJ31" s="297"/>
      <c r="AK31" s="297"/>
      <c r="AL31" s="297"/>
      <c r="AM31" s="297"/>
      <c r="AN31" s="297"/>
    </row>
    <row r="32" spans="1:40" s="302" customFormat="1" ht="15" customHeight="1">
      <c r="A32" s="297"/>
      <c r="B32" s="618">
        <v>3</v>
      </c>
      <c r="C32" s="923" t="s">
        <v>261</v>
      </c>
      <c r="D32" s="924"/>
      <c r="E32" s="680">
        <v>5</v>
      </c>
      <c r="F32" s="681">
        <f>LOOKUP(C32,'HT-Hajusheitmed (M1)'!$B$4:$B$116,'HT-Hajusheitmed (M1)'!$D$4:$D$116)</f>
        <v>1825</v>
      </c>
      <c r="G32" s="682" t="str">
        <f>LOOKUP(C32,'HT-Hajusheitmed (M1)'!$B$4:$B$116,'HT-Hajusheitmed (M1)'!$E$4:$E$116)</f>
        <v>IPCC AR4</v>
      </c>
      <c r="H32" s="683">
        <f>E32*F32</f>
        <v>9125</v>
      </c>
      <c r="I32" s="528">
        <f t="shared" si="1"/>
        <v>9.125</v>
      </c>
      <c r="K32" s="618"/>
      <c r="L32" s="923"/>
      <c r="M32" s="924"/>
      <c r="N32" s="680"/>
      <c r="O32" s="681" t="e">
        <f>LOOKUP(L32,'HT-Hajusheitmed (M1)'!$B$4:$B$116,'HT-Hajusheitmed (M1)'!$D$4:$D$116)</f>
        <v>#N/A</v>
      </c>
      <c r="P32" s="682" t="e">
        <f>LOOKUP(L32,'HT-Hajusheitmed (M1)'!$B$4:$B$116,'HT-Hajusheitmed (M1)'!$E$4:$E$116)</f>
        <v>#N/A</v>
      </c>
      <c r="Q32" s="683" t="e">
        <f t="shared" si="2"/>
        <v>#N/A</v>
      </c>
      <c r="R32" s="528" t="e">
        <f t="shared" si="3"/>
        <v>#N/A</v>
      </c>
      <c r="S32" s="297"/>
      <c r="T32" s="618"/>
      <c r="U32" s="923"/>
      <c r="V32" s="924"/>
      <c r="W32" s="680"/>
      <c r="X32" s="681" t="e">
        <f>LOOKUP(U32,'HT-Hajusheitmed (M1)'!$B$4:$B$116,'HT-Hajusheitmed (M1)'!$D$4:$D$116)</f>
        <v>#N/A</v>
      </c>
      <c r="Y32" s="682" t="e">
        <f>LOOKUP(U32,'HT-Hajusheitmed (M1)'!$B$4:$B$116,'HT-Hajusheitmed (M1)'!$E$4:$E$116)</f>
        <v>#N/A</v>
      </c>
      <c r="Z32" s="683" t="e">
        <f t="shared" si="4"/>
        <v>#N/A</v>
      </c>
      <c r="AA32" s="528" t="e">
        <f t="shared" si="5"/>
        <v>#N/A</v>
      </c>
      <c r="AB32" s="297"/>
      <c r="AC32" s="297"/>
      <c r="AD32" s="297"/>
      <c r="AE32" s="297"/>
      <c r="AF32" s="297"/>
      <c r="AG32" s="297"/>
      <c r="AH32" s="297"/>
      <c r="AI32" s="297"/>
      <c r="AJ32" s="297"/>
      <c r="AK32" s="297"/>
      <c r="AL32" s="297"/>
      <c r="AM32" s="297"/>
      <c r="AN32" s="297"/>
    </row>
    <row r="33" spans="1:40" s="302" customFormat="1" ht="15" customHeight="1">
      <c r="B33" s="618"/>
      <c r="C33" s="923"/>
      <c r="D33" s="924"/>
      <c r="E33" s="680"/>
      <c r="F33" s="681" t="e">
        <f>LOOKUP(C33,'HT-Hajusheitmed (M1)'!$B$4:$B$116,'HT-Hajusheitmed (M1)'!$D$4:$D$116)</f>
        <v>#N/A</v>
      </c>
      <c r="G33" s="682" t="e">
        <f>LOOKUP(C33,'HT-Hajusheitmed (M1)'!$B$4:$B$116,'HT-Hajusheitmed (M1)'!$E$4:$E$116)</f>
        <v>#N/A</v>
      </c>
      <c r="H33" s="683" t="e">
        <f t="shared" si="0"/>
        <v>#N/A</v>
      </c>
      <c r="I33" s="528" t="e">
        <f t="shared" si="1"/>
        <v>#N/A</v>
      </c>
      <c r="K33" s="618"/>
      <c r="L33" s="923"/>
      <c r="M33" s="924"/>
      <c r="N33" s="680"/>
      <c r="O33" s="681" t="e">
        <f>LOOKUP(L33,'HT-Hajusheitmed (M1)'!$B$4:$B$116,'HT-Hajusheitmed (M1)'!$D$4:$D$116)</f>
        <v>#N/A</v>
      </c>
      <c r="P33" s="682" t="e">
        <f>LOOKUP(L33,'HT-Hajusheitmed (M1)'!$B$4:$B$116,'HT-Hajusheitmed (M1)'!$E$4:$E$116)</f>
        <v>#N/A</v>
      </c>
      <c r="Q33" s="683" t="e">
        <f t="shared" si="2"/>
        <v>#N/A</v>
      </c>
      <c r="R33" s="528" t="e">
        <f t="shared" si="3"/>
        <v>#N/A</v>
      </c>
      <c r="S33" s="297"/>
      <c r="T33" s="618"/>
      <c r="U33" s="923"/>
      <c r="V33" s="924"/>
      <c r="W33" s="680"/>
      <c r="X33" s="681" t="e">
        <f>LOOKUP(U33,'HT-Hajusheitmed (M1)'!$B$4:$B$116,'HT-Hajusheitmed (M1)'!$D$4:$D$116)</f>
        <v>#N/A</v>
      </c>
      <c r="Y33" s="682" t="e">
        <f>LOOKUP(U33,'HT-Hajusheitmed (M1)'!$B$4:$B$116,'HT-Hajusheitmed (M1)'!$E$4:$E$116)</f>
        <v>#N/A</v>
      </c>
      <c r="Z33" s="683" t="e">
        <f t="shared" si="4"/>
        <v>#N/A</v>
      </c>
      <c r="AA33" s="528" t="e">
        <f t="shared" si="5"/>
        <v>#N/A</v>
      </c>
      <c r="AB33" s="297"/>
      <c r="AC33" s="297"/>
      <c r="AD33" s="297"/>
      <c r="AE33" s="297"/>
      <c r="AF33" s="297"/>
      <c r="AG33" s="297"/>
      <c r="AH33" s="297"/>
      <c r="AI33" s="297"/>
      <c r="AJ33" s="297"/>
      <c r="AK33" s="297"/>
      <c r="AL33" s="297"/>
      <c r="AM33" s="297"/>
      <c r="AN33" s="297"/>
    </row>
    <row r="34" spans="1:40" s="302" customFormat="1" ht="15" customHeight="1">
      <c r="B34" s="618"/>
      <c r="C34" s="923"/>
      <c r="D34" s="924"/>
      <c r="E34" s="680"/>
      <c r="F34" s="681" t="e">
        <f>LOOKUP(C34,'HT-Hajusheitmed (M1)'!$B$4:$B$116,'HT-Hajusheitmed (M1)'!$D$4:$D$116)</f>
        <v>#N/A</v>
      </c>
      <c r="G34" s="682" t="e">
        <f>LOOKUP(C34,'HT-Hajusheitmed (M1)'!$B$4:$B$116,'HT-Hajusheitmed (M1)'!$E$4:$E$116)</f>
        <v>#N/A</v>
      </c>
      <c r="H34" s="683" t="e">
        <f t="shared" si="0"/>
        <v>#N/A</v>
      </c>
      <c r="I34" s="528" t="e">
        <f t="shared" si="1"/>
        <v>#N/A</v>
      </c>
      <c r="K34" s="618"/>
      <c r="L34" s="923"/>
      <c r="M34" s="924"/>
      <c r="N34" s="680"/>
      <c r="O34" s="681" t="e">
        <f>LOOKUP(L34,'HT-Hajusheitmed (M1)'!$B$4:$B$116,'HT-Hajusheitmed (M1)'!$D$4:$D$116)</f>
        <v>#N/A</v>
      </c>
      <c r="P34" s="682" t="e">
        <f>LOOKUP(L34,'HT-Hajusheitmed (M1)'!$B$4:$B$116,'HT-Hajusheitmed (M1)'!$E$4:$E$116)</f>
        <v>#N/A</v>
      </c>
      <c r="Q34" s="683" t="e">
        <f t="shared" si="2"/>
        <v>#N/A</v>
      </c>
      <c r="R34" s="528" t="e">
        <f t="shared" si="3"/>
        <v>#N/A</v>
      </c>
      <c r="S34" s="297"/>
      <c r="T34" s="618"/>
      <c r="U34" s="923"/>
      <c r="V34" s="924"/>
      <c r="W34" s="680"/>
      <c r="X34" s="681" t="e">
        <f>LOOKUP(U34,'HT-Hajusheitmed (M1)'!$B$4:$B$116,'HT-Hajusheitmed (M1)'!$D$4:$D$116)</f>
        <v>#N/A</v>
      </c>
      <c r="Y34" s="682" t="e">
        <f>LOOKUP(U34,'HT-Hajusheitmed (M1)'!$B$4:$B$116,'HT-Hajusheitmed (M1)'!$E$4:$E$116)</f>
        <v>#N/A</v>
      </c>
      <c r="Z34" s="683" t="e">
        <f t="shared" si="4"/>
        <v>#N/A</v>
      </c>
      <c r="AA34" s="528" t="e">
        <f t="shared" si="5"/>
        <v>#N/A</v>
      </c>
      <c r="AB34" s="297"/>
      <c r="AC34" s="297"/>
      <c r="AD34" s="297"/>
      <c r="AE34" s="297"/>
      <c r="AF34" s="297"/>
      <c r="AG34" s="297"/>
      <c r="AH34" s="297"/>
      <c r="AI34" s="297"/>
      <c r="AJ34" s="297"/>
      <c r="AK34" s="297"/>
      <c r="AL34" s="297"/>
      <c r="AM34" s="297"/>
      <c r="AN34" s="297"/>
    </row>
    <row r="35" spans="1:40" s="302" customFormat="1" ht="15" customHeight="1">
      <c r="B35" s="618"/>
      <c r="C35" s="923"/>
      <c r="D35" s="924"/>
      <c r="E35" s="680"/>
      <c r="F35" s="681" t="e">
        <f>LOOKUP(C35,'HT-Hajusheitmed (M1)'!$B$4:$B$116,'HT-Hajusheitmed (M1)'!$D$4:$D$116)</f>
        <v>#N/A</v>
      </c>
      <c r="G35" s="682" t="e">
        <f>LOOKUP(C35,'HT-Hajusheitmed (M1)'!$B$4:$B$116,'HT-Hajusheitmed (M1)'!$E$4:$E$116)</f>
        <v>#N/A</v>
      </c>
      <c r="H35" s="683" t="e">
        <f t="shared" si="0"/>
        <v>#N/A</v>
      </c>
      <c r="I35" s="528" t="e">
        <f t="shared" si="1"/>
        <v>#N/A</v>
      </c>
      <c r="K35" s="618"/>
      <c r="L35" s="923"/>
      <c r="M35" s="924"/>
      <c r="N35" s="680"/>
      <c r="O35" s="681" t="e">
        <f>LOOKUP(L35,'HT-Hajusheitmed (M1)'!$B$4:$B$116,'HT-Hajusheitmed (M1)'!$D$4:$D$116)</f>
        <v>#N/A</v>
      </c>
      <c r="P35" s="682" t="e">
        <f>LOOKUP(L35,'HT-Hajusheitmed (M1)'!$B$4:$B$116,'HT-Hajusheitmed (M1)'!$E$4:$E$116)</f>
        <v>#N/A</v>
      </c>
      <c r="Q35" s="683" t="e">
        <f t="shared" si="2"/>
        <v>#N/A</v>
      </c>
      <c r="R35" s="528" t="e">
        <f t="shared" si="3"/>
        <v>#N/A</v>
      </c>
      <c r="S35" s="297"/>
      <c r="T35" s="618"/>
      <c r="U35" s="923"/>
      <c r="V35" s="924"/>
      <c r="W35" s="680"/>
      <c r="X35" s="681" t="e">
        <f>LOOKUP(U35,'HT-Hajusheitmed (M1)'!$B$4:$B$116,'HT-Hajusheitmed (M1)'!$D$4:$D$116)</f>
        <v>#N/A</v>
      </c>
      <c r="Y35" s="682" t="e">
        <f>LOOKUP(U35,'HT-Hajusheitmed (M1)'!$B$4:$B$116,'HT-Hajusheitmed (M1)'!$E$4:$E$116)</f>
        <v>#N/A</v>
      </c>
      <c r="Z35" s="683" t="e">
        <f t="shared" si="4"/>
        <v>#N/A</v>
      </c>
      <c r="AA35" s="528" t="e">
        <f t="shared" si="5"/>
        <v>#N/A</v>
      </c>
      <c r="AB35" s="297"/>
      <c r="AC35" s="297"/>
      <c r="AD35" s="297"/>
      <c r="AE35" s="297"/>
      <c r="AF35" s="297"/>
      <c r="AG35" s="297"/>
      <c r="AH35" s="297"/>
      <c r="AI35" s="297"/>
      <c r="AJ35" s="297"/>
      <c r="AK35" s="297"/>
      <c r="AL35" s="297"/>
      <c r="AM35" s="297"/>
      <c r="AN35" s="297"/>
    </row>
    <row r="36" spans="1:40" s="302" customFormat="1" ht="15" customHeight="1">
      <c r="B36" s="618"/>
      <c r="C36" s="923"/>
      <c r="D36" s="924"/>
      <c r="E36" s="680"/>
      <c r="F36" s="681" t="e">
        <f>LOOKUP(C36,'HT-Hajusheitmed (M1)'!$B$4:$B$116,'HT-Hajusheitmed (M1)'!$D$4:$D$116)</f>
        <v>#N/A</v>
      </c>
      <c r="G36" s="682" t="e">
        <f>LOOKUP(C36,'HT-Hajusheitmed (M1)'!$B$4:$B$116,'HT-Hajusheitmed (M1)'!$E$4:$E$116)</f>
        <v>#N/A</v>
      </c>
      <c r="H36" s="683" t="e">
        <f t="shared" si="0"/>
        <v>#N/A</v>
      </c>
      <c r="I36" s="528" t="e">
        <f t="shared" si="1"/>
        <v>#N/A</v>
      </c>
      <c r="K36" s="618"/>
      <c r="L36" s="923"/>
      <c r="M36" s="924"/>
      <c r="N36" s="680"/>
      <c r="O36" s="681" t="e">
        <f>LOOKUP(L36,'HT-Hajusheitmed (M1)'!$B$4:$B$116,'HT-Hajusheitmed (M1)'!$D$4:$D$116)</f>
        <v>#N/A</v>
      </c>
      <c r="P36" s="682" t="e">
        <f>LOOKUP(L36,'HT-Hajusheitmed (M1)'!$B$4:$B$116,'HT-Hajusheitmed (M1)'!$E$4:$E$116)</f>
        <v>#N/A</v>
      </c>
      <c r="Q36" s="683" t="e">
        <f t="shared" si="2"/>
        <v>#N/A</v>
      </c>
      <c r="R36" s="528" t="e">
        <f t="shared" si="3"/>
        <v>#N/A</v>
      </c>
      <c r="S36" s="297"/>
      <c r="T36" s="618"/>
      <c r="U36" s="923"/>
      <c r="V36" s="924"/>
      <c r="W36" s="680"/>
      <c r="X36" s="681" t="e">
        <f>LOOKUP(U36,'HT-Hajusheitmed (M1)'!$B$4:$B$116,'HT-Hajusheitmed (M1)'!$D$4:$D$116)</f>
        <v>#N/A</v>
      </c>
      <c r="Y36" s="682" t="e">
        <f>LOOKUP(U36,'HT-Hajusheitmed (M1)'!$B$4:$B$116,'HT-Hajusheitmed (M1)'!$E$4:$E$116)</f>
        <v>#N/A</v>
      </c>
      <c r="Z36" s="683" t="e">
        <f t="shared" si="4"/>
        <v>#N/A</v>
      </c>
      <c r="AA36" s="528" t="e">
        <f t="shared" si="5"/>
        <v>#N/A</v>
      </c>
      <c r="AB36" s="297"/>
      <c r="AC36" s="297"/>
      <c r="AD36" s="297"/>
      <c r="AE36" s="297"/>
      <c r="AF36" s="297"/>
      <c r="AG36" s="297"/>
      <c r="AH36" s="297"/>
      <c r="AI36" s="297"/>
      <c r="AJ36" s="297"/>
      <c r="AK36" s="297"/>
      <c r="AL36" s="297"/>
      <c r="AM36" s="297"/>
      <c r="AN36" s="297"/>
    </row>
    <row r="37" spans="1:40" s="302" customFormat="1" ht="15" customHeight="1">
      <c r="B37" s="618"/>
      <c r="C37" s="923"/>
      <c r="D37" s="924"/>
      <c r="E37" s="680"/>
      <c r="F37" s="681" t="e">
        <f>LOOKUP(C37,'HT-Hajusheitmed (M1)'!$B$4:$B$116,'HT-Hajusheitmed (M1)'!$D$4:$D$116)</f>
        <v>#N/A</v>
      </c>
      <c r="G37" s="682" t="e">
        <f>LOOKUP(C37,'HT-Hajusheitmed (M1)'!$B$4:$B$116,'HT-Hajusheitmed (M1)'!$E$4:$E$116)</f>
        <v>#N/A</v>
      </c>
      <c r="H37" s="683" t="e">
        <f t="shared" si="0"/>
        <v>#N/A</v>
      </c>
      <c r="I37" s="528" t="e">
        <f t="shared" si="1"/>
        <v>#N/A</v>
      </c>
      <c r="K37" s="618"/>
      <c r="L37" s="923"/>
      <c r="M37" s="924"/>
      <c r="N37" s="680"/>
      <c r="O37" s="681" t="e">
        <f>LOOKUP(L37,'HT-Hajusheitmed (M1)'!$B$4:$B$116,'HT-Hajusheitmed (M1)'!$D$4:$D$116)</f>
        <v>#N/A</v>
      </c>
      <c r="P37" s="682" t="e">
        <f>LOOKUP(L37,'HT-Hajusheitmed (M1)'!$B$4:$B$116,'HT-Hajusheitmed (M1)'!$E$4:$E$116)</f>
        <v>#N/A</v>
      </c>
      <c r="Q37" s="683" t="e">
        <f t="shared" si="2"/>
        <v>#N/A</v>
      </c>
      <c r="R37" s="528" t="e">
        <f t="shared" si="3"/>
        <v>#N/A</v>
      </c>
      <c r="S37" s="297"/>
      <c r="T37" s="618"/>
      <c r="U37" s="923"/>
      <c r="V37" s="924"/>
      <c r="W37" s="680"/>
      <c r="X37" s="681" t="e">
        <f>LOOKUP(U37,'HT-Hajusheitmed (M1)'!$B$4:$B$116,'HT-Hajusheitmed (M1)'!$D$4:$D$116)</f>
        <v>#N/A</v>
      </c>
      <c r="Y37" s="682" t="e">
        <f>LOOKUP(U37,'HT-Hajusheitmed (M1)'!$B$4:$B$116,'HT-Hajusheitmed (M1)'!$E$4:$E$116)</f>
        <v>#N/A</v>
      </c>
      <c r="Z37" s="683" t="e">
        <f t="shared" si="4"/>
        <v>#N/A</v>
      </c>
      <c r="AA37" s="528" t="e">
        <f t="shared" si="5"/>
        <v>#N/A</v>
      </c>
      <c r="AB37" s="297"/>
      <c r="AC37" s="297"/>
      <c r="AD37" s="297"/>
      <c r="AE37" s="297"/>
      <c r="AF37" s="297"/>
      <c r="AG37" s="297"/>
      <c r="AH37" s="297"/>
      <c r="AI37" s="297"/>
      <c r="AJ37" s="297"/>
      <c r="AK37" s="297"/>
      <c r="AL37" s="297"/>
      <c r="AM37" s="297"/>
      <c r="AN37" s="297"/>
    </row>
    <row r="38" spans="1:40" s="302" customFormat="1" ht="15" customHeight="1">
      <c r="B38" s="618"/>
      <c r="C38" s="923"/>
      <c r="D38" s="924"/>
      <c r="E38" s="680"/>
      <c r="F38" s="681" t="e">
        <f>LOOKUP(C38,'HT-Hajusheitmed (M1)'!$B$4:$B$116,'HT-Hajusheitmed (M1)'!$D$4:$D$116)</f>
        <v>#N/A</v>
      </c>
      <c r="G38" s="682" t="e">
        <f>LOOKUP(C38,'HT-Hajusheitmed (M1)'!$B$4:$B$116,'HT-Hajusheitmed (M1)'!$E$4:$E$116)</f>
        <v>#N/A</v>
      </c>
      <c r="H38" s="683" t="e">
        <f t="shared" si="0"/>
        <v>#N/A</v>
      </c>
      <c r="I38" s="528" t="e">
        <f t="shared" si="1"/>
        <v>#N/A</v>
      </c>
      <c r="K38" s="618"/>
      <c r="L38" s="923"/>
      <c r="M38" s="924"/>
      <c r="N38" s="680"/>
      <c r="O38" s="681" t="e">
        <f>LOOKUP(L38,'HT-Hajusheitmed (M1)'!$B$4:$B$116,'HT-Hajusheitmed (M1)'!$D$4:$D$116)</f>
        <v>#N/A</v>
      </c>
      <c r="P38" s="682" t="e">
        <f>LOOKUP(L38,'HT-Hajusheitmed (M1)'!$B$4:$B$116,'HT-Hajusheitmed (M1)'!$E$4:$E$116)</f>
        <v>#N/A</v>
      </c>
      <c r="Q38" s="683" t="e">
        <f t="shared" si="2"/>
        <v>#N/A</v>
      </c>
      <c r="R38" s="528" t="e">
        <f t="shared" si="3"/>
        <v>#N/A</v>
      </c>
      <c r="S38" s="297"/>
      <c r="T38" s="618"/>
      <c r="U38" s="923"/>
      <c r="V38" s="924"/>
      <c r="W38" s="680"/>
      <c r="X38" s="681" t="e">
        <f>LOOKUP(U38,'HT-Hajusheitmed (M1)'!$B$4:$B$116,'HT-Hajusheitmed (M1)'!$D$4:$D$116)</f>
        <v>#N/A</v>
      </c>
      <c r="Y38" s="682" t="e">
        <f>LOOKUP(U38,'HT-Hajusheitmed (M1)'!$B$4:$B$116,'HT-Hajusheitmed (M1)'!$E$4:$E$116)</f>
        <v>#N/A</v>
      </c>
      <c r="Z38" s="683" t="e">
        <f t="shared" si="4"/>
        <v>#N/A</v>
      </c>
      <c r="AA38" s="528" t="e">
        <f t="shared" si="5"/>
        <v>#N/A</v>
      </c>
      <c r="AB38" s="297"/>
      <c r="AC38" s="297"/>
      <c r="AD38" s="297"/>
      <c r="AE38" s="297"/>
      <c r="AF38" s="297"/>
      <c r="AG38" s="297"/>
      <c r="AH38" s="297"/>
      <c r="AI38" s="297"/>
      <c r="AJ38" s="297"/>
      <c r="AK38" s="297"/>
      <c r="AL38" s="297"/>
      <c r="AM38" s="297"/>
      <c r="AN38" s="297"/>
    </row>
    <row r="39" spans="1:40" s="302" customFormat="1" ht="15" customHeight="1" thickBot="1">
      <c r="B39" s="667"/>
      <c r="C39" s="930"/>
      <c r="D39" s="931"/>
      <c r="E39" s="684"/>
      <c r="F39" s="681" t="e">
        <f>LOOKUP(C39,'HT-Hajusheitmed (M1)'!$B$4:$B$116,'HT-Hajusheitmed (M1)'!$D$4:$D$116)</f>
        <v>#N/A</v>
      </c>
      <c r="G39" s="682" t="e">
        <f>LOOKUP(C39,'HT-Hajusheitmed (M1)'!$B$4:$B$116,'HT-Hajusheitmed (M1)'!$E$4:$E$116)</f>
        <v>#N/A</v>
      </c>
      <c r="H39" s="685" t="e">
        <f t="shared" si="0"/>
        <v>#N/A</v>
      </c>
      <c r="I39" s="530" t="e">
        <f t="shared" si="1"/>
        <v>#N/A</v>
      </c>
      <c r="K39" s="667"/>
      <c r="L39" s="930"/>
      <c r="M39" s="931"/>
      <c r="N39" s="684"/>
      <c r="O39" s="681" t="e">
        <f>LOOKUP(L39,'HT-Hajusheitmed (M1)'!$B$4:$B$116,'HT-Hajusheitmed (M1)'!$D$4:$D$116)</f>
        <v>#N/A</v>
      </c>
      <c r="P39" s="682" t="e">
        <f>LOOKUP(L39,'HT-Hajusheitmed (M1)'!$B$4:$B$116,'HT-Hajusheitmed (M1)'!$E$4:$E$116)</f>
        <v>#N/A</v>
      </c>
      <c r="Q39" s="685" t="e">
        <f t="shared" si="2"/>
        <v>#N/A</v>
      </c>
      <c r="R39" s="530" t="e">
        <f t="shared" si="3"/>
        <v>#N/A</v>
      </c>
      <c r="S39" s="297"/>
      <c r="T39" s="667"/>
      <c r="U39" s="930"/>
      <c r="V39" s="931"/>
      <c r="W39" s="684"/>
      <c r="X39" s="681" t="e">
        <f>LOOKUP(U39,'HT-Hajusheitmed (M1)'!$B$4:$B$116,'HT-Hajusheitmed (M1)'!$D$4:$D$116)</f>
        <v>#N/A</v>
      </c>
      <c r="Y39" s="682" t="e">
        <f>LOOKUP(U39,'HT-Hajusheitmed (M1)'!$B$4:$B$116,'HT-Hajusheitmed (M1)'!$E$4:$E$116)</f>
        <v>#N/A</v>
      </c>
      <c r="Z39" s="685" t="e">
        <f t="shared" si="4"/>
        <v>#N/A</v>
      </c>
      <c r="AA39" s="530" t="e">
        <f t="shared" si="5"/>
        <v>#N/A</v>
      </c>
      <c r="AB39" s="297"/>
      <c r="AC39" s="297"/>
      <c r="AD39" s="297"/>
      <c r="AE39" s="297"/>
      <c r="AF39" s="297"/>
      <c r="AG39" s="297"/>
      <c r="AH39" s="297"/>
      <c r="AI39" s="297"/>
      <c r="AJ39" s="297"/>
      <c r="AK39" s="297"/>
      <c r="AL39" s="297"/>
      <c r="AM39" s="297"/>
      <c r="AN39" s="297"/>
    </row>
    <row r="40" spans="1:40" s="302" customFormat="1" ht="15" customHeight="1" thickTop="1" thickBot="1">
      <c r="B40" s="579"/>
      <c r="C40" s="580"/>
      <c r="D40" s="580"/>
      <c r="E40" s="580"/>
      <c r="F40" s="580"/>
      <c r="G40" s="533" t="s">
        <v>1592</v>
      </c>
      <c r="H40" s="672">
        <f>SUMIF(H30:H39,"&lt;&gt;#N/A")</f>
        <v>30810</v>
      </c>
      <c r="I40" s="582">
        <f>SUMIF(I30:I39,"&lt;&gt;#N/A")</f>
        <v>30.810000000000002</v>
      </c>
      <c r="J40" s="686"/>
      <c r="K40" s="579"/>
      <c r="L40" s="580"/>
      <c r="M40" s="580"/>
      <c r="N40" s="580"/>
      <c r="O40" s="580"/>
      <c r="P40" s="533" t="s">
        <v>1592</v>
      </c>
      <c r="Q40" s="672">
        <f>SUMIF(Q30:Q39,"&lt;&gt;#N/A")</f>
        <v>1059</v>
      </c>
      <c r="R40" s="582">
        <f>SUMIF(R30:R39,"&lt;&gt;#N/A")</f>
        <v>1.0589999999999999</v>
      </c>
      <c r="S40" s="297"/>
      <c r="T40" s="579"/>
      <c r="U40" s="580"/>
      <c r="V40" s="580"/>
      <c r="W40" s="580"/>
      <c r="X40" s="580"/>
      <c r="Y40" s="533" t="s">
        <v>1592</v>
      </c>
      <c r="Z40" s="672">
        <f>SUMIF(Z30:Z39,"&lt;&gt;#N/A")</f>
        <v>48</v>
      </c>
      <c r="AA40" s="582">
        <f>SUMIF(AA30:AA39,"&lt;&gt;#N/A")</f>
        <v>4.8000000000000001E-2</v>
      </c>
      <c r="AB40" s="297"/>
      <c r="AC40" s="297"/>
      <c r="AD40" s="297"/>
      <c r="AE40" s="297"/>
      <c r="AF40" s="297"/>
      <c r="AG40" s="297"/>
      <c r="AH40" s="297"/>
      <c r="AI40" s="297"/>
      <c r="AJ40" s="297"/>
      <c r="AK40" s="297"/>
      <c r="AL40" s="297"/>
      <c r="AM40" s="297"/>
      <c r="AN40" s="297"/>
    </row>
    <row r="41" spans="1:40" ht="14.5" thickTop="1">
      <c r="A41" s="297"/>
    </row>
    <row r="42" spans="1:40">
      <c r="B42" s="536"/>
      <c r="C42" s="537"/>
      <c r="D42" s="537"/>
      <c r="E42" s="537"/>
      <c r="F42" s="537"/>
      <c r="G42" s="538" t="s">
        <v>1575</v>
      </c>
      <c r="H42" s="539">
        <f>SUMIF(B30:B39,1,H30:H39)</f>
        <v>6850</v>
      </c>
      <c r="I42" s="540">
        <f>H42*0.001</f>
        <v>6.8500000000000005</v>
      </c>
      <c r="K42" s="536"/>
      <c r="L42" s="537"/>
      <c r="M42" s="537"/>
      <c r="N42" s="537"/>
      <c r="O42" s="537"/>
      <c r="P42" s="538" t="s">
        <v>1575</v>
      </c>
      <c r="Q42" s="539">
        <f>SUMIF(K30:K39,1,Q30:Q39)</f>
        <v>1059</v>
      </c>
      <c r="R42" s="540">
        <f>Q42*0.001</f>
        <v>1.0589999999999999</v>
      </c>
      <c r="T42" s="536"/>
      <c r="U42" s="537"/>
      <c r="V42" s="537"/>
      <c r="W42" s="537"/>
      <c r="X42" s="537"/>
      <c r="Y42" s="538" t="s">
        <v>1575</v>
      </c>
      <c r="Z42" s="539">
        <f>SUMIF(T30:T39,1,Z30:Z39)</f>
        <v>0</v>
      </c>
      <c r="AA42" s="540">
        <f>Z42*0.001</f>
        <v>0</v>
      </c>
    </row>
    <row r="43" spans="1:40">
      <c r="B43" s="536"/>
      <c r="C43" s="537"/>
      <c r="D43" s="537"/>
      <c r="E43" s="537"/>
      <c r="F43" s="537"/>
      <c r="G43" s="538" t="s">
        <v>1576</v>
      </c>
      <c r="H43" s="539">
        <f>SUMIF(B30:B39,2,H30:H39)</f>
        <v>14835</v>
      </c>
      <c r="I43" s="540">
        <f t="shared" ref="I43:I44" si="6">H43*0.001</f>
        <v>14.835000000000001</v>
      </c>
      <c r="K43" s="536"/>
      <c r="L43" s="537"/>
      <c r="M43" s="537"/>
      <c r="N43" s="537"/>
      <c r="O43" s="537"/>
      <c r="P43" s="538" t="s">
        <v>1576</v>
      </c>
      <c r="Q43" s="539">
        <f>SUMIF(K30:K39,2,Q30:Q39)</f>
        <v>0</v>
      </c>
      <c r="R43" s="540">
        <f t="shared" ref="R43:R44" si="7">Q43*0.001</f>
        <v>0</v>
      </c>
      <c r="T43" s="536"/>
      <c r="U43" s="537"/>
      <c r="V43" s="537"/>
      <c r="W43" s="537"/>
      <c r="X43" s="537"/>
      <c r="Y43" s="538" t="s">
        <v>1576</v>
      </c>
      <c r="Z43" s="539">
        <f>SUMIF(T30:T39,2,Z30:Z39)</f>
        <v>48</v>
      </c>
      <c r="AA43" s="540">
        <f t="shared" ref="AA43:AA44" si="8">Z43*0.001</f>
        <v>4.8000000000000001E-2</v>
      </c>
    </row>
    <row r="44" spans="1:40">
      <c r="B44" s="536"/>
      <c r="C44" s="537"/>
      <c r="D44" s="537"/>
      <c r="E44" s="537"/>
      <c r="F44" s="537"/>
      <c r="G44" s="538" t="s">
        <v>1577</v>
      </c>
      <c r="H44" s="539">
        <f>SUMIF(B30:B39,3,H30:H39)</f>
        <v>9125</v>
      </c>
      <c r="I44" s="540">
        <f t="shared" si="6"/>
        <v>9.125</v>
      </c>
      <c r="K44" s="536"/>
      <c r="L44" s="537"/>
      <c r="M44" s="537"/>
      <c r="N44" s="537"/>
      <c r="O44" s="537"/>
      <c r="P44" s="538" t="s">
        <v>1577</v>
      </c>
      <c r="Q44" s="539">
        <f>SUMIF(K30:K39,3,Q30:Q39)</f>
        <v>0</v>
      </c>
      <c r="R44" s="540">
        <f t="shared" si="7"/>
        <v>0</v>
      </c>
      <c r="T44" s="536"/>
      <c r="U44" s="537"/>
      <c r="V44" s="537"/>
      <c r="W44" s="537"/>
      <c r="X44" s="537"/>
      <c r="Y44" s="538" t="s">
        <v>1577</v>
      </c>
      <c r="Z44" s="539">
        <f>SUMIF(T30:T39,3,Z30:Z39)</f>
        <v>0</v>
      </c>
      <c r="AA44" s="540">
        <f t="shared" si="8"/>
        <v>0</v>
      </c>
    </row>
    <row r="50" spans="1:1" ht="14">
      <c r="A50" s="297"/>
    </row>
    <row r="62" spans="1:1" ht="14">
      <c r="A62" s="297"/>
    </row>
    <row r="63" spans="1:1" ht="14">
      <c r="A63" s="297"/>
    </row>
    <row r="64" spans="1:1" ht="14">
      <c r="A64" s="297"/>
    </row>
    <row r="65" spans="1:1" ht="14">
      <c r="A65" s="297"/>
    </row>
    <row r="82" spans="1:1" ht="14">
      <c r="A82" s="297"/>
    </row>
  </sheetData>
  <mergeCells count="48">
    <mergeCell ref="C31:D31"/>
    <mergeCell ref="C32:D32"/>
    <mergeCell ref="C33:D33"/>
    <mergeCell ref="C34:D34"/>
    <mergeCell ref="C26:D29"/>
    <mergeCell ref="C30:D30"/>
    <mergeCell ref="C35:D35"/>
    <mergeCell ref="C36:D36"/>
    <mergeCell ref="C37:D37"/>
    <mergeCell ref="C38:D38"/>
    <mergeCell ref="C39:D39"/>
    <mergeCell ref="B26:B29"/>
    <mergeCell ref="G26:G29"/>
    <mergeCell ref="H26:I28"/>
    <mergeCell ref="F26:F28"/>
    <mergeCell ref="E26:E28"/>
    <mergeCell ref="K26:K29"/>
    <mergeCell ref="L26:M29"/>
    <mergeCell ref="N26:N28"/>
    <mergeCell ref="O26:O28"/>
    <mergeCell ref="P26:P29"/>
    <mergeCell ref="L38:M38"/>
    <mergeCell ref="Q26:R28"/>
    <mergeCell ref="L30:M30"/>
    <mergeCell ref="L31:M31"/>
    <mergeCell ref="L32:M32"/>
    <mergeCell ref="L33:M33"/>
    <mergeCell ref="L39:M39"/>
    <mergeCell ref="T26:T29"/>
    <mergeCell ref="U26:V29"/>
    <mergeCell ref="W26:W28"/>
    <mergeCell ref="X26:X28"/>
    <mergeCell ref="U33:V33"/>
    <mergeCell ref="U34:V34"/>
    <mergeCell ref="U35:V35"/>
    <mergeCell ref="U36:V36"/>
    <mergeCell ref="U37:V37"/>
    <mergeCell ref="U38:V38"/>
    <mergeCell ref="U39:V39"/>
    <mergeCell ref="L34:M34"/>
    <mergeCell ref="L35:M35"/>
    <mergeCell ref="L36:M36"/>
    <mergeCell ref="L37:M37"/>
    <mergeCell ref="Y26:Y29"/>
    <mergeCell ref="Z26:AA28"/>
    <mergeCell ref="U30:V30"/>
    <mergeCell ref="U31:V31"/>
    <mergeCell ref="U32:V32"/>
  </mergeCells>
  <phoneticPr fontId="35" type="noConversion"/>
  <hyperlinks>
    <hyperlink ref="A2" location="Sisukord!A1" display="Sisukord"/>
    <hyperlink ref="B12" location="'HT-Hajusheitmed (M1)'!A1" display="HT-hajusheitmed"/>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'HT-Hajusheitmed (M1)'!$B$4:$B$116</xm:f>
          </x14:formula1>
          <xm:sqref>C30:C39 L30:L39 U30:U39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tint="0.39997558519241921"/>
  </sheetPr>
  <dimension ref="A1:AG75"/>
  <sheetViews>
    <sheetView showGridLines="0" zoomScale="90" zoomScaleNormal="90" workbookViewId="0">
      <pane xSplit="1" ySplit="1" topLeftCell="B2" activePane="bottomRight" state="frozen"/>
      <selection activeCell="B5" sqref="B5"/>
      <selection pane="topRight" activeCell="B5" sqref="B5"/>
      <selection pane="bottomLeft" activeCell="B5" sqref="B5"/>
      <selection pane="bottomRight" activeCell="X36" sqref="X36"/>
    </sheetView>
  </sheetViews>
  <sheetFormatPr defaultColWidth="8.54296875" defaultRowHeight="15" customHeight="1"/>
  <cols>
    <col min="1" max="1" width="7.1796875" style="302" customWidth="1"/>
    <col min="2" max="2" width="9.7265625" style="297" customWidth="1"/>
    <col min="3" max="3" width="9.54296875" style="297" customWidth="1"/>
    <col min="4" max="4" width="16.453125" style="297" customWidth="1"/>
    <col min="5" max="6" width="16.7265625" style="297" customWidth="1"/>
    <col min="7" max="8" width="15.54296875" style="297" customWidth="1"/>
    <col min="9" max="9" width="50.54296875" style="297" customWidth="1"/>
    <col min="10" max="11" width="14" style="297" customWidth="1"/>
    <col min="12" max="12" width="8.54296875" style="297" customWidth="1"/>
    <col min="13" max="13" width="9.7265625" style="297" customWidth="1"/>
    <col min="14" max="14" width="9.54296875" style="297" customWidth="1"/>
    <col min="15" max="15" width="16.453125" style="297" customWidth="1"/>
    <col min="16" max="17" width="16.7265625" style="297" customWidth="1"/>
    <col min="18" max="19" width="15.54296875" style="297" customWidth="1"/>
    <col min="20" max="20" width="50.54296875" style="297" customWidth="1"/>
    <col min="21" max="22" width="14" style="297" customWidth="1"/>
    <col min="23" max="23" width="8.54296875" style="297"/>
    <col min="24" max="24" width="9.7265625" style="297" customWidth="1"/>
    <col min="25" max="25" width="9.54296875" style="297" customWidth="1"/>
    <col min="26" max="26" width="16.453125" style="297" customWidth="1"/>
    <col min="27" max="28" width="16.7265625" style="297" customWidth="1"/>
    <col min="29" max="30" width="15.54296875" style="297" customWidth="1"/>
    <col min="31" max="31" width="50.54296875" style="297" customWidth="1"/>
    <col min="32" max="33" width="14" style="297" customWidth="1"/>
    <col min="34" max="16384" width="8.54296875" style="297"/>
  </cols>
  <sheetData>
    <row r="1" spans="1:16" s="396" customFormat="1" ht="21" customHeight="1">
      <c r="A1" s="293"/>
      <c r="B1" s="291" t="s">
        <v>1588</v>
      </c>
      <c r="C1" s="319"/>
    </row>
    <row r="2" spans="1:16" ht="15" customHeight="1">
      <c r="A2" s="295" t="s">
        <v>1</v>
      </c>
      <c r="B2" s="833" t="s">
        <v>2278</v>
      </c>
      <c r="C2" s="834"/>
      <c r="D2" s="834"/>
      <c r="E2" s="834"/>
      <c r="F2" s="834"/>
      <c r="G2" s="834"/>
      <c r="H2" s="834"/>
      <c r="I2" s="834"/>
      <c r="J2" s="834"/>
      <c r="K2" s="837"/>
    </row>
    <row r="3" spans="1:16" s="501" customFormat="1" ht="15" customHeight="1">
      <c r="A3" s="297"/>
      <c r="B3" s="829" t="s">
        <v>1693</v>
      </c>
      <c r="C3" s="822"/>
      <c r="D3" s="822"/>
      <c r="E3" s="822"/>
      <c r="F3" s="822"/>
      <c r="G3" s="822"/>
      <c r="H3" s="822"/>
      <c r="I3" s="838"/>
      <c r="J3" s="838"/>
      <c r="K3" s="839"/>
      <c r="L3" s="307"/>
      <c r="M3" s="307"/>
      <c r="N3" s="307"/>
      <c r="O3" s="307"/>
      <c r="P3" s="307"/>
    </row>
    <row r="4" spans="1:16" s="501" customFormat="1" ht="15" customHeight="1">
      <c r="A4" s="297"/>
      <c r="B4" s="829" t="s">
        <v>2093</v>
      </c>
      <c r="C4" s="822"/>
      <c r="D4" s="822"/>
      <c r="E4" s="822"/>
      <c r="F4" s="822"/>
      <c r="G4" s="822"/>
      <c r="H4" s="822"/>
      <c r="I4" s="838"/>
      <c r="J4" s="838"/>
      <c r="K4" s="839"/>
      <c r="L4" s="307"/>
      <c r="M4" s="307"/>
      <c r="N4" s="307"/>
      <c r="O4" s="307"/>
      <c r="P4" s="307"/>
    </row>
    <row r="5" spans="1:16" s="501" customFormat="1" ht="15" customHeight="1">
      <c r="A5" s="297"/>
      <c r="B5" s="829" t="s">
        <v>1663</v>
      </c>
      <c r="C5" s="822"/>
      <c r="D5" s="822"/>
      <c r="E5" s="822"/>
      <c r="F5" s="822"/>
      <c r="G5" s="822"/>
      <c r="H5" s="822"/>
      <c r="I5" s="838"/>
      <c r="J5" s="838"/>
      <c r="K5" s="839"/>
      <c r="L5" s="307"/>
      <c r="M5" s="307"/>
      <c r="N5" s="307"/>
      <c r="O5" s="307"/>
      <c r="P5" s="307"/>
    </row>
    <row r="6" spans="1:16" s="501" customFormat="1" ht="15" customHeight="1">
      <c r="A6" s="297"/>
      <c r="B6" s="829"/>
      <c r="C6" s="822"/>
      <c r="D6" s="840"/>
      <c r="E6" s="840"/>
      <c r="F6" s="840"/>
      <c r="G6" s="840"/>
      <c r="H6" s="840"/>
      <c r="I6" s="838"/>
      <c r="J6" s="838"/>
      <c r="K6" s="839"/>
      <c r="L6" s="307"/>
      <c r="M6" s="307"/>
      <c r="N6" s="307"/>
      <c r="O6" s="307"/>
      <c r="P6" s="307"/>
    </row>
    <row r="7" spans="1:16" s="501" customFormat="1" ht="15" customHeight="1">
      <c r="A7" s="297"/>
      <c r="B7" s="828" t="s">
        <v>66</v>
      </c>
      <c r="C7" s="835"/>
      <c r="D7" s="840"/>
      <c r="E7" s="840"/>
      <c r="F7" s="840"/>
      <c r="G7" s="840"/>
      <c r="H7" s="840"/>
      <c r="I7" s="838"/>
      <c r="J7" s="838"/>
      <c r="K7" s="839"/>
      <c r="L7" s="307"/>
      <c r="M7" s="307"/>
      <c r="N7" s="307"/>
      <c r="O7" s="307"/>
      <c r="P7" s="307"/>
    </row>
    <row r="8" spans="1:16" s="501" customFormat="1" ht="15" customHeight="1">
      <c r="A8" s="302"/>
      <c r="B8" s="829" t="s">
        <v>1448</v>
      </c>
      <c r="C8" s="822"/>
      <c r="D8" s="841"/>
      <c r="E8" s="841"/>
      <c r="F8" s="841"/>
      <c r="G8" s="841"/>
      <c r="H8" s="841"/>
      <c r="I8" s="841"/>
      <c r="J8" s="841"/>
      <c r="K8" s="842"/>
    </row>
    <row r="9" spans="1:16" s="501" customFormat="1" ht="15" customHeight="1">
      <c r="A9" s="302"/>
      <c r="B9" s="836" t="s">
        <v>1748</v>
      </c>
      <c r="C9" s="831"/>
      <c r="D9" s="841"/>
      <c r="E9" s="841"/>
      <c r="F9" s="841"/>
      <c r="G9" s="841"/>
      <c r="H9" s="841"/>
      <c r="I9" s="841"/>
      <c r="J9" s="841"/>
      <c r="K9" s="842"/>
    </row>
    <row r="10" spans="1:16" s="501" customFormat="1" ht="15" customHeight="1">
      <c r="A10" s="302"/>
      <c r="B10" s="836" t="s">
        <v>2153</v>
      </c>
      <c r="C10" s="831"/>
      <c r="D10" s="841"/>
      <c r="E10" s="841"/>
      <c r="F10" s="841"/>
      <c r="G10" s="843" t="s">
        <v>1558</v>
      </c>
      <c r="H10" s="841"/>
      <c r="I10" s="841"/>
      <c r="J10" s="841"/>
      <c r="K10" s="842"/>
    </row>
    <row r="11" spans="1:16" s="501" customFormat="1" ht="15" customHeight="1">
      <c r="A11" s="302"/>
      <c r="B11" s="829" t="s">
        <v>1444</v>
      </c>
      <c r="C11" s="822"/>
      <c r="D11" s="841"/>
      <c r="E11" s="841"/>
      <c r="F11" s="841"/>
      <c r="G11" s="841"/>
      <c r="H11" s="841"/>
      <c r="I11" s="841"/>
      <c r="J11" s="841"/>
      <c r="K11" s="842"/>
    </row>
    <row r="12" spans="1:16" s="501" customFormat="1" ht="15" customHeight="1">
      <c r="A12" s="302"/>
      <c r="B12" s="829" t="s">
        <v>2115</v>
      </c>
      <c r="C12" s="822"/>
      <c r="D12" s="841"/>
      <c r="E12" s="841"/>
      <c r="F12" s="841"/>
      <c r="G12" s="841"/>
      <c r="H12" s="841"/>
      <c r="I12" s="831"/>
      <c r="J12" s="841"/>
      <c r="K12" s="842"/>
    </row>
    <row r="13" spans="1:16" s="501" customFormat="1" ht="15" customHeight="1">
      <c r="A13" s="302"/>
      <c r="B13" s="829" t="s">
        <v>2185</v>
      </c>
      <c r="C13" s="822"/>
      <c r="D13" s="841"/>
      <c r="E13" s="841"/>
      <c r="F13" s="841"/>
      <c r="G13" s="841"/>
      <c r="H13" s="841"/>
      <c r="I13" s="831"/>
      <c r="J13" s="841"/>
      <c r="K13" s="842"/>
    </row>
    <row r="14" spans="1:16" s="501" customFormat="1" ht="15" customHeight="1">
      <c r="A14" s="302"/>
      <c r="B14" s="829" t="s">
        <v>2186</v>
      </c>
      <c r="C14" s="822"/>
      <c r="D14" s="841"/>
      <c r="E14" s="841"/>
      <c r="F14" s="841"/>
      <c r="G14" s="841"/>
      <c r="H14" s="841"/>
      <c r="I14" s="831"/>
      <c r="J14" s="841"/>
      <c r="K14" s="842"/>
    </row>
    <row r="15" spans="1:16" s="501" customFormat="1" ht="15" customHeight="1">
      <c r="A15" s="302"/>
      <c r="B15" s="829" t="s">
        <v>2116</v>
      </c>
      <c r="C15" s="822"/>
      <c r="D15" s="841"/>
      <c r="E15" s="841"/>
      <c r="F15" s="841"/>
      <c r="G15" s="841"/>
      <c r="H15" s="841"/>
      <c r="I15" s="831"/>
      <c r="J15" s="841"/>
      <c r="K15" s="842"/>
    </row>
    <row r="16" spans="1:16" s="501" customFormat="1" ht="15" customHeight="1">
      <c r="A16" s="302"/>
      <c r="B16" s="829" t="s">
        <v>2282</v>
      </c>
      <c r="C16" s="822"/>
      <c r="D16" s="841"/>
      <c r="E16" s="841"/>
      <c r="F16" s="841"/>
      <c r="G16" s="841"/>
      <c r="H16" s="841"/>
      <c r="I16" s="831"/>
      <c r="J16" s="841"/>
      <c r="K16" s="842"/>
    </row>
    <row r="17" spans="1:11" s="501" customFormat="1" ht="15" customHeight="1">
      <c r="A17" s="302"/>
      <c r="B17" s="829"/>
      <c r="C17" s="822"/>
      <c r="D17" s="841"/>
      <c r="E17" s="841"/>
      <c r="F17" s="841"/>
      <c r="G17" s="841"/>
      <c r="H17" s="841"/>
      <c r="I17" s="831"/>
      <c r="J17" s="841"/>
      <c r="K17" s="842"/>
    </row>
    <row r="18" spans="1:11" s="501" customFormat="1" ht="15" customHeight="1">
      <c r="A18" s="302"/>
      <c r="B18" s="829" t="s">
        <v>2281</v>
      </c>
      <c r="C18" s="822"/>
      <c r="D18" s="841"/>
      <c r="E18" s="841"/>
      <c r="F18" s="841"/>
      <c r="G18" s="841"/>
      <c r="H18" s="841"/>
      <c r="I18" s="841"/>
      <c r="J18" s="841"/>
      <c r="K18" s="842"/>
    </row>
    <row r="19" spans="1:11" s="501" customFormat="1" ht="15" customHeight="1">
      <c r="A19" s="302"/>
      <c r="B19" s="829" t="s">
        <v>2285</v>
      </c>
      <c r="C19" s="822"/>
      <c r="D19" s="841"/>
      <c r="E19" s="841"/>
      <c r="F19" s="841"/>
      <c r="G19" s="841"/>
      <c r="H19" s="841"/>
      <c r="I19" s="841"/>
      <c r="J19" s="841"/>
      <c r="K19" s="842"/>
    </row>
    <row r="20" spans="1:11" s="501" customFormat="1" ht="15" customHeight="1">
      <c r="A20" s="302"/>
      <c r="B20" s="829" t="s">
        <v>2286</v>
      </c>
      <c r="C20" s="822"/>
      <c r="D20" s="841"/>
      <c r="E20" s="841"/>
      <c r="F20" s="841"/>
      <c r="G20" s="841"/>
      <c r="H20" s="841"/>
      <c r="I20" s="841"/>
      <c r="J20" s="841"/>
      <c r="K20" s="842"/>
    </row>
    <row r="21" spans="1:11" s="501" customFormat="1" ht="15" customHeight="1">
      <c r="A21" s="302"/>
      <c r="B21" s="829" t="s">
        <v>2287</v>
      </c>
      <c r="C21" s="822"/>
      <c r="D21" s="841"/>
      <c r="E21" s="841"/>
      <c r="F21" s="841"/>
      <c r="G21" s="841"/>
      <c r="H21" s="841"/>
      <c r="I21" s="841"/>
      <c r="J21" s="841"/>
      <c r="K21" s="842"/>
    </row>
    <row r="22" spans="1:11" s="501" customFormat="1" ht="15" customHeight="1">
      <c r="A22" s="302"/>
      <c r="B22" s="829" t="s">
        <v>2283</v>
      </c>
      <c r="C22" s="822"/>
      <c r="D22" s="841"/>
      <c r="E22" s="841"/>
      <c r="F22" s="841"/>
      <c r="G22" s="841"/>
      <c r="H22" s="841"/>
      <c r="I22" s="841"/>
      <c r="J22" s="841"/>
      <c r="K22" s="842"/>
    </row>
    <row r="23" spans="1:11" s="501" customFormat="1" ht="15" customHeight="1">
      <c r="A23" s="302"/>
      <c r="B23" s="829" t="s">
        <v>2284</v>
      </c>
      <c r="C23" s="822"/>
      <c r="D23" s="841"/>
      <c r="E23" s="841"/>
      <c r="F23" s="841"/>
      <c r="G23" s="841"/>
      <c r="H23" s="841"/>
      <c r="I23" s="841"/>
      <c r="J23" s="841"/>
      <c r="K23" s="842"/>
    </row>
    <row r="24" spans="1:11" s="501" customFormat="1" ht="15" customHeight="1">
      <c r="A24" s="302"/>
      <c r="B24" s="829"/>
      <c r="C24" s="822"/>
      <c r="D24" s="841"/>
      <c r="E24" s="841"/>
      <c r="F24" s="841"/>
      <c r="G24" s="841"/>
      <c r="H24" s="841"/>
      <c r="I24" s="841"/>
      <c r="J24" s="841"/>
      <c r="K24" s="842"/>
    </row>
    <row r="25" spans="1:11" s="501" customFormat="1" ht="15" customHeight="1">
      <c r="A25" s="302"/>
      <c r="B25" s="519" t="s">
        <v>1750</v>
      </c>
      <c r="C25" s="297"/>
      <c r="D25" s="659"/>
      <c r="E25" s="302"/>
      <c r="F25" s="302"/>
      <c r="K25" s="603"/>
    </row>
    <row r="26" spans="1:11" s="501" customFormat="1" ht="15" customHeight="1">
      <c r="A26" s="302"/>
      <c r="B26" s="519" t="s">
        <v>2117</v>
      </c>
      <c r="C26" s="297"/>
      <c r="D26" s="659"/>
      <c r="E26" s="302"/>
      <c r="F26" s="302"/>
      <c r="K26" s="603"/>
    </row>
    <row r="27" spans="1:11" s="501" customFormat="1" ht="15" customHeight="1">
      <c r="A27" s="302"/>
      <c r="B27" s="519" t="s">
        <v>2187</v>
      </c>
      <c r="C27" s="297"/>
      <c r="D27" s="659"/>
      <c r="E27" s="302"/>
      <c r="F27" s="302"/>
      <c r="K27" s="603"/>
    </row>
    <row r="28" spans="1:11" s="501" customFormat="1" ht="15" customHeight="1">
      <c r="A28" s="302"/>
      <c r="B28" s="519"/>
      <c r="C28" s="297"/>
      <c r="D28" s="659"/>
      <c r="E28" s="302"/>
      <c r="F28" s="302"/>
      <c r="K28" s="603"/>
    </row>
    <row r="29" spans="1:11" s="501" customFormat="1" ht="15" customHeight="1">
      <c r="A29" s="302"/>
      <c r="B29" s="519" t="s">
        <v>2118</v>
      </c>
      <c r="C29" s="297"/>
      <c r="D29" s="659"/>
      <c r="E29" s="659"/>
      <c r="F29" s="302"/>
      <c r="G29" s="674"/>
      <c r="H29" s="674"/>
      <c r="K29" s="603"/>
    </row>
    <row r="30" spans="1:11" s="501" customFormat="1" ht="15" customHeight="1">
      <c r="A30" s="302"/>
      <c r="B30" s="519" t="s">
        <v>1751</v>
      </c>
      <c r="C30" s="297"/>
      <c r="D30" s="659"/>
      <c r="E30" s="659"/>
      <c r="F30" s="302"/>
      <c r="G30" s="674"/>
      <c r="H30" s="674"/>
      <c r="K30" s="603"/>
    </row>
    <row r="31" spans="1:11" s="501" customFormat="1" ht="15" customHeight="1">
      <c r="A31" s="302"/>
      <c r="B31" s="519"/>
      <c r="C31" s="297"/>
      <c r="D31" s="659"/>
      <c r="E31" s="659"/>
      <c r="F31" s="302"/>
      <c r="G31" s="674"/>
      <c r="H31" s="674"/>
      <c r="K31" s="603"/>
    </row>
    <row r="32" spans="1:11" s="501" customFormat="1" ht="15" customHeight="1">
      <c r="A32" s="302"/>
      <c r="B32" s="523" t="s">
        <v>1746</v>
      </c>
      <c r="C32" s="584"/>
      <c r="D32" s="660"/>
      <c r="E32" s="660"/>
      <c r="F32" s="675"/>
      <c r="G32" s="676"/>
      <c r="H32" s="676"/>
      <c r="I32" s="564"/>
      <c r="J32" s="564"/>
      <c r="K32" s="606"/>
    </row>
    <row r="33" spans="1:33" s="501" customFormat="1" ht="15" customHeight="1" thickBot="1">
      <c r="A33" s="302"/>
      <c r="B33" s="297"/>
      <c r="C33" s="297"/>
    </row>
    <row r="34" spans="1:33" s="501" customFormat="1" ht="15" customHeight="1" thickTop="1" thickBot="1">
      <c r="A34" s="302"/>
      <c r="B34" s="502" t="s">
        <v>55</v>
      </c>
      <c r="C34" s="526">
        <f>Organisatsioon!B23</f>
        <v>2021</v>
      </c>
      <c r="M34" s="502" t="s">
        <v>55</v>
      </c>
      <c r="N34" s="526">
        <f>Organisatsioon!B24</f>
        <v>2022</v>
      </c>
      <c r="X34" s="502" t="s">
        <v>55</v>
      </c>
      <c r="Y34" s="526">
        <f>Organisatsioon!B25</f>
        <v>2023</v>
      </c>
    </row>
    <row r="35" spans="1:33" s="501" customFormat="1" ht="15" customHeight="1" thickTop="1">
      <c r="A35" s="302"/>
    </row>
    <row r="36" spans="1:33" ht="15" customHeight="1">
      <c r="B36" s="308" t="s">
        <v>1590</v>
      </c>
      <c r="C36" s="543"/>
      <c r="D36" s="661"/>
      <c r="E36" s="661"/>
      <c r="F36" s="662"/>
      <c r="G36" s="662"/>
      <c r="H36" s="662"/>
      <c r="I36" s="662"/>
      <c r="J36" s="662"/>
      <c r="K36" s="663"/>
      <c r="M36" s="308" t="s">
        <v>1590</v>
      </c>
      <c r="N36" s="543"/>
      <c r="O36" s="661"/>
      <c r="P36" s="661"/>
      <c r="Q36" s="662"/>
      <c r="R36" s="662"/>
      <c r="S36" s="662"/>
      <c r="T36" s="662"/>
      <c r="U36" s="662"/>
      <c r="V36" s="663"/>
      <c r="X36" s="308" t="s">
        <v>1590</v>
      </c>
      <c r="Y36" s="543"/>
      <c r="Z36" s="661"/>
      <c r="AA36" s="661"/>
      <c r="AB36" s="662"/>
      <c r="AC36" s="662"/>
      <c r="AD36" s="662"/>
      <c r="AE36" s="662"/>
      <c r="AF36" s="662"/>
      <c r="AG36" s="663"/>
    </row>
    <row r="37" spans="1:33" ht="15" customHeight="1">
      <c r="B37" s="925" t="s">
        <v>57</v>
      </c>
      <c r="C37" s="916" t="s">
        <v>100</v>
      </c>
      <c r="D37" s="917"/>
      <c r="E37" s="925" t="s">
        <v>101</v>
      </c>
      <c r="F37" s="914" t="s">
        <v>85</v>
      </c>
      <c r="G37" s="914" t="s">
        <v>69</v>
      </c>
      <c r="H37" s="914" t="s">
        <v>70</v>
      </c>
      <c r="I37" s="914" t="s">
        <v>71</v>
      </c>
      <c r="J37" s="908" t="s">
        <v>72</v>
      </c>
      <c r="K37" s="909"/>
      <c r="M37" s="925" t="s">
        <v>57</v>
      </c>
      <c r="N37" s="916" t="s">
        <v>100</v>
      </c>
      <c r="O37" s="917"/>
      <c r="P37" s="925" t="s">
        <v>101</v>
      </c>
      <c r="Q37" s="914" t="s">
        <v>85</v>
      </c>
      <c r="R37" s="914" t="s">
        <v>69</v>
      </c>
      <c r="S37" s="914" t="s">
        <v>70</v>
      </c>
      <c r="T37" s="914" t="s">
        <v>71</v>
      </c>
      <c r="U37" s="908" t="s">
        <v>72</v>
      </c>
      <c r="V37" s="909"/>
      <c r="X37" s="925" t="s">
        <v>57</v>
      </c>
      <c r="Y37" s="916" t="s">
        <v>100</v>
      </c>
      <c r="Z37" s="917"/>
      <c r="AA37" s="925" t="s">
        <v>101</v>
      </c>
      <c r="AB37" s="914" t="s">
        <v>85</v>
      </c>
      <c r="AC37" s="914" t="s">
        <v>69</v>
      </c>
      <c r="AD37" s="914" t="s">
        <v>70</v>
      </c>
      <c r="AE37" s="914" t="s">
        <v>71</v>
      </c>
      <c r="AF37" s="908" t="s">
        <v>72</v>
      </c>
      <c r="AG37" s="909"/>
    </row>
    <row r="38" spans="1:33" ht="15" customHeight="1">
      <c r="B38" s="926"/>
      <c r="C38" s="918"/>
      <c r="D38" s="919"/>
      <c r="E38" s="926"/>
      <c r="F38" s="915"/>
      <c r="G38" s="915"/>
      <c r="H38" s="915"/>
      <c r="I38" s="915"/>
      <c r="J38" s="928"/>
      <c r="K38" s="929"/>
      <c r="M38" s="926"/>
      <c r="N38" s="918"/>
      <c r="O38" s="919"/>
      <c r="P38" s="926"/>
      <c r="Q38" s="915"/>
      <c r="R38" s="915"/>
      <c r="S38" s="915"/>
      <c r="T38" s="915"/>
      <c r="U38" s="928"/>
      <c r="V38" s="929"/>
      <c r="X38" s="926"/>
      <c r="Y38" s="918"/>
      <c r="Z38" s="919"/>
      <c r="AA38" s="926"/>
      <c r="AB38" s="915"/>
      <c r="AC38" s="915"/>
      <c r="AD38" s="915"/>
      <c r="AE38" s="915"/>
      <c r="AF38" s="928"/>
      <c r="AG38" s="929"/>
    </row>
    <row r="39" spans="1:33" ht="15" customHeight="1">
      <c r="B39" s="926"/>
      <c r="C39" s="918"/>
      <c r="D39" s="919"/>
      <c r="E39" s="926"/>
      <c r="F39" s="922"/>
      <c r="G39" s="922"/>
      <c r="H39" s="922"/>
      <c r="I39" s="915"/>
      <c r="J39" s="910"/>
      <c r="K39" s="911"/>
      <c r="M39" s="926"/>
      <c r="N39" s="918"/>
      <c r="O39" s="919"/>
      <c r="P39" s="926"/>
      <c r="Q39" s="922"/>
      <c r="R39" s="922"/>
      <c r="S39" s="922"/>
      <c r="T39" s="915"/>
      <c r="U39" s="910"/>
      <c r="V39" s="911"/>
      <c r="X39" s="926"/>
      <c r="Y39" s="918"/>
      <c r="Z39" s="919"/>
      <c r="AA39" s="926"/>
      <c r="AB39" s="922"/>
      <c r="AC39" s="922"/>
      <c r="AD39" s="922"/>
      <c r="AE39" s="915"/>
      <c r="AF39" s="910"/>
      <c r="AG39" s="911"/>
    </row>
    <row r="40" spans="1:33" ht="15" customHeight="1">
      <c r="B40" s="927"/>
      <c r="C40" s="920"/>
      <c r="D40" s="921"/>
      <c r="E40" s="927"/>
      <c r="F40" s="571" t="s">
        <v>73</v>
      </c>
      <c r="G40" s="920" t="s">
        <v>2119</v>
      </c>
      <c r="H40" s="921"/>
      <c r="I40" s="922"/>
      <c r="J40" s="545" t="s">
        <v>2085</v>
      </c>
      <c r="K40" s="545" t="s">
        <v>2086</v>
      </c>
      <c r="M40" s="927"/>
      <c r="N40" s="920"/>
      <c r="O40" s="921"/>
      <c r="P40" s="927"/>
      <c r="Q40" s="571" t="s">
        <v>73</v>
      </c>
      <c r="R40" s="920" t="s">
        <v>2119</v>
      </c>
      <c r="S40" s="921"/>
      <c r="T40" s="922"/>
      <c r="U40" s="545" t="s">
        <v>2085</v>
      </c>
      <c r="V40" s="545" t="s">
        <v>2086</v>
      </c>
      <c r="X40" s="927"/>
      <c r="Y40" s="920"/>
      <c r="Z40" s="921"/>
      <c r="AA40" s="927"/>
      <c r="AB40" s="571" t="s">
        <v>73</v>
      </c>
      <c r="AC40" s="920" t="s">
        <v>2119</v>
      </c>
      <c r="AD40" s="921"/>
      <c r="AE40" s="922"/>
      <c r="AF40" s="545" t="s">
        <v>2085</v>
      </c>
      <c r="AG40" s="545" t="s">
        <v>2086</v>
      </c>
    </row>
    <row r="41" spans="1:33" ht="15" customHeight="1">
      <c r="B41" s="618">
        <v>1</v>
      </c>
      <c r="C41" s="923" t="s">
        <v>102</v>
      </c>
      <c r="D41" s="924"/>
      <c r="E41" s="664">
        <v>50000</v>
      </c>
      <c r="F41" s="572" t="s">
        <v>75</v>
      </c>
      <c r="G41" s="621">
        <f>IF(F41="Jah",LOOKUP(C41,'HT-Energia (M1, M2)'!$B$56:$B$58,'HT-Energia (M1, M2)'!$C$56:$C$58),IF(F41="Ei","x "))</f>
        <v>0.63658000000000003</v>
      </c>
      <c r="H41" s="677"/>
      <c r="I41" s="666" t="str">
        <f>IF(F41="Jah", LOOKUP(C41,'HT-Energia (M1, M2)'!$B$56:$B$58,'HT-Energia (M1, M2)'!$E$56:$E$58),IF(F41= "Ei", " "))</f>
        <v>Elering 2022. Elektrienergia segajäägi eriheide 2021</v>
      </c>
      <c r="J41" s="528">
        <f>IF(F41="Jah",E41*G41, IF(F41="Ei",H41*E41))</f>
        <v>31829</v>
      </c>
      <c r="K41" s="528">
        <f>J41*0.001</f>
        <v>31.829000000000001</v>
      </c>
      <c r="M41" s="618">
        <v>1</v>
      </c>
      <c r="N41" s="923" t="s">
        <v>102</v>
      </c>
      <c r="O41" s="924"/>
      <c r="P41" s="664">
        <v>40000</v>
      </c>
      <c r="Q41" s="572" t="s">
        <v>75</v>
      </c>
      <c r="R41" s="621">
        <f>IF(Q41="Jah",LOOKUP(N41,'HT-Energia (M1, M2)'!$B$56:$B$58,'HT-Energia (M1, M2)'!$C$56:$C$58),IF(Q41="Ei","x "))</f>
        <v>0.63658000000000003</v>
      </c>
      <c r="S41" s="677"/>
      <c r="T41" s="666" t="str">
        <f>IF(Q41="Jah", LOOKUP(N41,'HT-Energia (M1, M2)'!$B$56:$B$58,'HT-Energia (M1, M2)'!$E$56:$E$58),IF(Q41= "Ei", " "))</f>
        <v>Elering 2022. Elektrienergia segajäägi eriheide 2021</v>
      </c>
      <c r="U41" s="528">
        <f t="shared" ref="U41:U50" si="0">IF(Q41="Jah",P41*R41, IF(Q41="Ei",S41*P41))</f>
        <v>25463.200000000001</v>
      </c>
      <c r="V41" s="528">
        <f>U41*0.001</f>
        <v>25.463200000000001</v>
      </c>
      <c r="X41" s="618">
        <v>3</v>
      </c>
      <c r="Y41" s="923" t="s">
        <v>102</v>
      </c>
      <c r="Z41" s="924"/>
      <c r="AA41" s="664">
        <v>10000</v>
      </c>
      <c r="AB41" s="572" t="s">
        <v>75</v>
      </c>
      <c r="AC41" s="621">
        <f>IF(AB41="Jah",LOOKUP(Y41,'HT-Energia (M1, M2)'!$B$56:$B$58,'HT-Energia (M1, M2)'!$C$56:$C$58),IF(AB41="Ei","x "))</f>
        <v>0.63658000000000003</v>
      </c>
      <c r="AD41" s="677"/>
      <c r="AE41" s="666" t="str">
        <f>IF(AB41="Jah", LOOKUP(Y41,'HT-Energia (M1, M2)'!$B$56:$B$58,'HT-Energia (M1, M2)'!$E$56:$E$58),IF(AB41= "Ei", " "))</f>
        <v>Elering 2022. Elektrienergia segajäägi eriheide 2021</v>
      </c>
      <c r="AF41" s="528">
        <f t="shared" ref="AF41:AF50" si="1">IF(AB41="Jah",AA41*AC41, IF(AB41="Ei",AD41*AA41))</f>
        <v>6365.8</v>
      </c>
      <c r="AG41" s="528">
        <f>AF41*0.001</f>
        <v>6.3658000000000001</v>
      </c>
    </row>
    <row r="42" spans="1:33" ht="15" customHeight="1">
      <c r="B42" s="618">
        <v>2</v>
      </c>
      <c r="C42" s="923" t="s">
        <v>2178</v>
      </c>
      <c r="D42" s="924"/>
      <c r="E42" s="664">
        <v>50000</v>
      </c>
      <c r="F42" s="572" t="s">
        <v>75</v>
      </c>
      <c r="G42" s="621">
        <f>IF(F42="Jah",LOOKUP(C42,'HT-Energia (M1, M2)'!$B$56:$B$58,'HT-Energia (M1, M2)'!$C$56:$C$58),IF(F42="Ei","x "))</f>
        <v>0</v>
      </c>
      <c r="H42" s="677"/>
      <c r="I42" s="666" t="str">
        <f>IF(F42="Jah", LOOKUP(C42,'HT-Energia (M1, M2)'!$B$56:$B$58,'HT-Energia (M1, M2)'!$E$56:$E$58),IF(F42= "Ei", " "))</f>
        <v xml:space="preserve">CoM 2017 </v>
      </c>
      <c r="J42" s="528">
        <f t="shared" ref="J42:J50" si="2">IF(F42="Jah",E42*G42, IF(F42="Ei",H42*E42))</f>
        <v>0</v>
      </c>
      <c r="K42" s="528">
        <f t="shared" ref="K42:K50" si="3">J42*0.001</f>
        <v>0</v>
      </c>
      <c r="M42" s="618">
        <v>2</v>
      </c>
      <c r="N42" s="923" t="s">
        <v>2178</v>
      </c>
      <c r="O42" s="924"/>
      <c r="P42" s="664">
        <v>30000</v>
      </c>
      <c r="Q42" s="572" t="s">
        <v>75</v>
      </c>
      <c r="R42" s="621">
        <f>IF(Q42="Jah",LOOKUP(N42,'HT-Energia (M1, M2)'!$B$56:$B$58,'HT-Energia (M1, M2)'!$C$56:$C$58),IF(Q42="Ei","x "))</f>
        <v>0</v>
      </c>
      <c r="S42" s="677"/>
      <c r="T42" s="666" t="str">
        <f>IF(Q42="Jah", LOOKUP(N42,'HT-Energia (M1, M2)'!$B$56:$B$58,'HT-Energia (M1, M2)'!$E$56:$E$58),IF(Q42= "Ei", " "))</f>
        <v xml:space="preserve">CoM 2017 </v>
      </c>
      <c r="U42" s="528">
        <f t="shared" si="0"/>
        <v>0</v>
      </c>
      <c r="V42" s="528">
        <f t="shared" ref="V42:V50" si="4">U42*0.001</f>
        <v>0</v>
      </c>
      <c r="X42" s="618"/>
      <c r="Y42" s="923"/>
      <c r="Z42" s="924"/>
      <c r="AA42" s="664"/>
      <c r="AB42" s="572" t="s">
        <v>75</v>
      </c>
      <c r="AC42" s="621" t="e">
        <f>IF(AB42="Jah",LOOKUP(Y42,'HT-Energia (M1, M2)'!$B$57:$B$58,'HT-Energia (M1, M2)'!$C$57:$C$58),IF(AB42="Ei","x "))</f>
        <v>#N/A</v>
      </c>
      <c r="AD42" s="677"/>
      <c r="AE42" s="666" t="e">
        <f>IF(AB42="Jah", LOOKUP(Y42,'HT-Energia (M1, M2)'!$B$56:$B$58,'HT-Energia (M1, M2)'!$E$56:$E$58),IF(AB42= "Ei", " "))</f>
        <v>#N/A</v>
      </c>
      <c r="AF42" s="528" t="e">
        <f t="shared" si="1"/>
        <v>#N/A</v>
      </c>
      <c r="AG42" s="528" t="e">
        <f t="shared" ref="AG42:AG50" si="5">AF42*0.001</f>
        <v>#N/A</v>
      </c>
    </row>
    <row r="43" spans="1:33" ht="15" customHeight="1">
      <c r="B43" s="618"/>
      <c r="C43" s="923"/>
      <c r="D43" s="924"/>
      <c r="E43" s="664"/>
      <c r="F43" s="572" t="s">
        <v>75</v>
      </c>
      <c r="G43" s="621" t="e">
        <f>IF(F43="Jah",LOOKUP(C43,'HT-Energia (M1, M2)'!$B$56:$B$58,'HT-Energia (M1, M2)'!$C$56:$C$58),IF(F43="Ei","x "))</f>
        <v>#N/A</v>
      </c>
      <c r="H43" s="677"/>
      <c r="I43" s="666" t="e">
        <f>IF(F43="Jah", LOOKUP(C43,'HT-Energia (M1, M2)'!$B$56:$B$58,'HT-Energia (M1, M2)'!$E$56:$E$58),IF(F43= "Ei", " "))</f>
        <v>#N/A</v>
      </c>
      <c r="J43" s="528" t="e">
        <f t="shared" si="2"/>
        <v>#N/A</v>
      </c>
      <c r="K43" s="528" t="e">
        <f t="shared" si="3"/>
        <v>#N/A</v>
      </c>
      <c r="M43" s="618"/>
      <c r="N43" s="923"/>
      <c r="O43" s="924"/>
      <c r="P43" s="664"/>
      <c r="Q43" s="572" t="s">
        <v>75</v>
      </c>
      <c r="R43" s="621" t="e">
        <f>IF(Q43="Jah",LOOKUP(N43,'HT-Energia (M1, M2)'!$B$56:$B$58,'HT-Energia (M1, M2)'!$C$56:$C$58),IF(Q43="Ei","x "))</f>
        <v>#N/A</v>
      </c>
      <c r="S43" s="677"/>
      <c r="T43" s="666" t="e">
        <f>IF(Q43="Jah", LOOKUP(N43,'HT-Energia (M1, M2)'!$B$56:$B$58,'HT-Energia (M1, M2)'!$E$56:$E$58),IF(Q43= "Ei", " "))</f>
        <v>#N/A</v>
      </c>
      <c r="U43" s="528" t="e">
        <f t="shared" si="0"/>
        <v>#N/A</v>
      </c>
      <c r="V43" s="528" t="e">
        <f t="shared" si="4"/>
        <v>#N/A</v>
      </c>
      <c r="X43" s="618"/>
      <c r="Y43" s="923"/>
      <c r="Z43" s="924"/>
      <c r="AA43" s="664"/>
      <c r="AB43" s="572" t="s">
        <v>75</v>
      </c>
      <c r="AC43" s="621" t="e">
        <f>IF(AB43="Jah",LOOKUP(Y43,'HT-Energia (M1, M2)'!$B$57:$B$58,'HT-Energia (M1, M2)'!$C$57:$C$58),IF(AB43="Ei","x "))</f>
        <v>#N/A</v>
      </c>
      <c r="AD43" s="677"/>
      <c r="AE43" s="666" t="e">
        <f>IF(AB43="Jah", LOOKUP(Y43,'HT-Energia (M1, M2)'!$B$56:$B$58,'HT-Energia (M1, M2)'!$E$56:$E$58),IF(AB43= "Ei", " "))</f>
        <v>#N/A</v>
      </c>
      <c r="AF43" s="528" t="e">
        <f t="shared" si="1"/>
        <v>#N/A</v>
      </c>
      <c r="AG43" s="528" t="e">
        <f t="shared" si="5"/>
        <v>#N/A</v>
      </c>
    </row>
    <row r="44" spans="1:33" ht="15" customHeight="1">
      <c r="B44" s="618"/>
      <c r="C44" s="923"/>
      <c r="D44" s="924"/>
      <c r="E44" s="664"/>
      <c r="F44" s="572" t="s">
        <v>75</v>
      </c>
      <c r="G44" s="621" t="e">
        <f>IF(F44="Jah",LOOKUP(C44,'HT-Energia (M1, M2)'!$B$56:$B$58,'HT-Energia (M1, M2)'!$C$56:$C$58),IF(F44="Ei","x "))</f>
        <v>#N/A</v>
      </c>
      <c r="H44" s="677"/>
      <c r="I44" s="666" t="e">
        <f>IF(F44="Jah", LOOKUP(C44,'HT-Energia (M1, M2)'!$B$56:$B$58,'HT-Energia (M1, M2)'!$E$56:$E$58),IF(F44= "Ei", " "))</f>
        <v>#N/A</v>
      </c>
      <c r="J44" s="528" t="e">
        <f t="shared" si="2"/>
        <v>#N/A</v>
      </c>
      <c r="K44" s="528" t="e">
        <f t="shared" si="3"/>
        <v>#N/A</v>
      </c>
      <c r="M44" s="618"/>
      <c r="N44" s="923"/>
      <c r="O44" s="924"/>
      <c r="P44" s="664"/>
      <c r="Q44" s="572" t="s">
        <v>75</v>
      </c>
      <c r="R44" s="621" t="e">
        <f>IF(Q44="Jah",LOOKUP(N44,'HT-Energia (M1, M2)'!$B$56:$B$58,'HT-Energia (M1, M2)'!$C$56:$C$58),IF(Q44="Ei","x "))</f>
        <v>#N/A</v>
      </c>
      <c r="S44" s="677"/>
      <c r="T44" s="666" t="e">
        <f>IF(Q44="Jah", LOOKUP(N44,'HT-Energia (M1, M2)'!$B$56:$B$58,'HT-Energia (M1, M2)'!$E$56:$E$58),IF(Q44= "Ei", " "))</f>
        <v>#N/A</v>
      </c>
      <c r="U44" s="528" t="e">
        <f t="shared" si="0"/>
        <v>#N/A</v>
      </c>
      <c r="V44" s="528" t="e">
        <f t="shared" si="4"/>
        <v>#N/A</v>
      </c>
      <c r="X44" s="618"/>
      <c r="Y44" s="923"/>
      <c r="Z44" s="924"/>
      <c r="AA44" s="664"/>
      <c r="AB44" s="572" t="s">
        <v>75</v>
      </c>
      <c r="AC44" s="621" t="e">
        <f>IF(AB44="Jah",LOOKUP(Y44,'HT-Energia (M1, M2)'!$B$57:$B$58,'HT-Energia (M1, M2)'!$C$57:$C$58),IF(AB44="Ei","x "))</f>
        <v>#N/A</v>
      </c>
      <c r="AD44" s="677"/>
      <c r="AE44" s="666" t="e">
        <f>IF(AB44="Jah", LOOKUP(Y44,'HT-Energia (M1, M2)'!$B$56:$B$58,'HT-Energia (M1, M2)'!$E$56:$E$58),IF(AB44= "Ei", " "))</f>
        <v>#N/A</v>
      </c>
      <c r="AF44" s="528" t="e">
        <f t="shared" si="1"/>
        <v>#N/A</v>
      </c>
      <c r="AG44" s="528" t="e">
        <f t="shared" si="5"/>
        <v>#N/A</v>
      </c>
    </row>
    <row r="45" spans="1:33" ht="15" customHeight="1">
      <c r="B45" s="618"/>
      <c r="C45" s="923"/>
      <c r="D45" s="924"/>
      <c r="E45" s="664"/>
      <c r="F45" s="572" t="s">
        <v>75</v>
      </c>
      <c r="G45" s="621" t="e">
        <f>IF(F45="Jah",LOOKUP(C45,'HT-Energia (M1, M2)'!$B$56:$B$58,'HT-Energia (M1, M2)'!$C$56:$C$58),IF(F45="Ei","x "))</f>
        <v>#N/A</v>
      </c>
      <c r="H45" s="677"/>
      <c r="I45" s="666" t="e">
        <f>IF(F45="Jah", LOOKUP(C45,'HT-Energia (M1, M2)'!$B$56:$B$58,'HT-Energia (M1, M2)'!$E$56:$E$58),IF(F45= "Ei", " "))</f>
        <v>#N/A</v>
      </c>
      <c r="J45" s="528" t="e">
        <f t="shared" si="2"/>
        <v>#N/A</v>
      </c>
      <c r="K45" s="528" t="e">
        <f t="shared" si="3"/>
        <v>#N/A</v>
      </c>
      <c r="M45" s="618"/>
      <c r="N45" s="923"/>
      <c r="O45" s="924"/>
      <c r="P45" s="664"/>
      <c r="Q45" s="572" t="s">
        <v>75</v>
      </c>
      <c r="R45" s="621" t="e">
        <f>IF(Q45="Jah",LOOKUP(N45,'HT-Energia (M1, M2)'!$B$56:$B$58,'HT-Energia (M1, M2)'!$C$56:$C$58),IF(Q45="Ei","x "))</f>
        <v>#N/A</v>
      </c>
      <c r="S45" s="677"/>
      <c r="T45" s="666" t="e">
        <f>IF(Q45="Jah", LOOKUP(N45,'HT-Energia (M1, M2)'!$B$56:$B$58,'HT-Energia (M1, M2)'!$E$56:$E$58),IF(Q45= "Ei", " "))</f>
        <v>#N/A</v>
      </c>
      <c r="U45" s="528" t="e">
        <f t="shared" si="0"/>
        <v>#N/A</v>
      </c>
      <c r="V45" s="528" t="e">
        <f t="shared" si="4"/>
        <v>#N/A</v>
      </c>
      <c r="X45" s="618"/>
      <c r="Y45" s="923"/>
      <c r="Z45" s="924"/>
      <c r="AA45" s="664"/>
      <c r="AB45" s="572" t="s">
        <v>75</v>
      </c>
      <c r="AC45" s="621" t="e">
        <f>IF(AB45="Jah",LOOKUP(Y45,'HT-Energia (M1, M2)'!$B$57:$B$58,'HT-Energia (M1, M2)'!$C$57:$C$58),IF(AB45="Ei","x "))</f>
        <v>#N/A</v>
      </c>
      <c r="AD45" s="677"/>
      <c r="AE45" s="666" t="e">
        <f>IF(AB45="Jah", LOOKUP(Y45,'HT-Energia (M1, M2)'!$B$56:$B$58,'HT-Energia (M1, M2)'!$E$56:$E$58),IF(AB45= "Ei", " "))</f>
        <v>#N/A</v>
      </c>
      <c r="AF45" s="528" t="e">
        <f t="shared" si="1"/>
        <v>#N/A</v>
      </c>
      <c r="AG45" s="528" t="e">
        <f t="shared" si="5"/>
        <v>#N/A</v>
      </c>
    </row>
    <row r="46" spans="1:33" ht="15" customHeight="1">
      <c r="B46" s="618"/>
      <c r="C46" s="923"/>
      <c r="D46" s="924"/>
      <c r="E46" s="664"/>
      <c r="F46" s="572" t="s">
        <v>75</v>
      </c>
      <c r="G46" s="621" t="e">
        <f>IF(F46="Jah",LOOKUP(C46,'HT-Energia (M1, M2)'!$B$56:$B$58,'HT-Energia (M1, M2)'!$C$56:$C$58),IF(F46="Ei","x "))</f>
        <v>#N/A</v>
      </c>
      <c r="H46" s="677"/>
      <c r="I46" s="666" t="e">
        <f>IF(F46="Jah", LOOKUP(C46,'HT-Energia (M1, M2)'!$B$56:$B$58,'HT-Energia (M1, M2)'!$E$56:$E$58),IF(F46= "Ei", " "))</f>
        <v>#N/A</v>
      </c>
      <c r="J46" s="528" t="e">
        <f t="shared" si="2"/>
        <v>#N/A</v>
      </c>
      <c r="K46" s="528" t="e">
        <f t="shared" si="3"/>
        <v>#N/A</v>
      </c>
      <c r="M46" s="618"/>
      <c r="N46" s="923"/>
      <c r="O46" s="924"/>
      <c r="P46" s="664"/>
      <c r="Q46" s="572" t="s">
        <v>75</v>
      </c>
      <c r="R46" s="621" t="e">
        <f>IF(Q46="Jah",LOOKUP(N46,'HT-Energia (M1, M2)'!$B$56:$B$58,'HT-Energia (M1, M2)'!$C$56:$C$58),IF(Q46="Ei","x "))</f>
        <v>#N/A</v>
      </c>
      <c r="S46" s="677"/>
      <c r="T46" s="666" t="e">
        <f>IF(Q46="Jah", LOOKUP(N46,'HT-Energia (M1, M2)'!$B$56:$B$58,'HT-Energia (M1, M2)'!$E$56:$E$58),IF(Q46= "Ei", " "))</f>
        <v>#N/A</v>
      </c>
      <c r="U46" s="528" t="e">
        <f t="shared" si="0"/>
        <v>#N/A</v>
      </c>
      <c r="V46" s="528" t="e">
        <f t="shared" si="4"/>
        <v>#N/A</v>
      </c>
      <c r="X46" s="618"/>
      <c r="Y46" s="923"/>
      <c r="Z46" s="924"/>
      <c r="AA46" s="664"/>
      <c r="AB46" s="572" t="s">
        <v>75</v>
      </c>
      <c r="AC46" s="621" t="e">
        <f>IF(AB46="Jah",LOOKUP(Y46,'HT-Energia (M1, M2)'!$B$57:$B$58,'HT-Energia (M1, M2)'!$C$57:$C$58),IF(AB46="Ei","x "))</f>
        <v>#N/A</v>
      </c>
      <c r="AD46" s="677"/>
      <c r="AE46" s="666" t="e">
        <f>IF(AB46="Jah", LOOKUP(Y46,'HT-Energia (M1, M2)'!$B$56:$B$58,'HT-Energia (M1, M2)'!$E$56:$E$58),IF(AB46= "Ei", " "))</f>
        <v>#N/A</v>
      </c>
      <c r="AF46" s="528" t="e">
        <f t="shared" si="1"/>
        <v>#N/A</v>
      </c>
      <c r="AG46" s="528" t="e">
        <f t="shared" si="5"/>
        <v>#N/A</v>
      </c>
    </row>
    <row r="47" spans="1:33" ht="15" customHeight="1">
      <c r="B47" s="618"/>
      <c r="C47" s="923"/>
      <c r="D47" s="924"/>
      <c r="E47" s="664"/>
      <c r="F47" s="572" t="s">
        <v>75</v>
      </c>
      <c r="G47" s="621" t="e">
        <f>IF(F47="Jah",LOOKUP(C47,'HT-Energia (M1, M2)'!$B$56:$B$58,'HT-Energia (M1, M2)'!$C$56:$C$58),IF(F47="Ei","x "))</f>
        <v>#N/A</v>
      </c>
      <c r="H47" s="677"/>
      <c r="I47" s="666" t="e">
        <f>IF(F47="Jah", LOOKUP(C47,'HT-Energia (M1, M2)'!$B$56:$B$58,'HT-Energia (M1, M2)'!$E$56:$E$58),IF(F47= "Ei", " "))</f>
        <v>#N/A</v>
      </c>
      <c r="J47" s="528" t="e">
        <f t="shared" si="2"/>
        <v>#N/A</v>
      </c>
      <c r="K47" s="528" t="e">
        <f t="shared" si="3"/>
        <v>#N/A</v>
      </c>
      <c r="M47" s="618"/>
      <c r="N47" s="923"/>
      <c r="O47" s="924"/>
      <c r="P47" s="664"/>
      <c r="Q47" s="572" t="s">
        <v>75</v>
      </c>
      <c r="R47" s="621" t="e">
        <f>IF(Q47="Jah",LOOKUP(N47,'HT-Energia (M1, M2)'!$B$56:$B$58,'HT-Energia (M1, M2)'!$C$56:$C$58),IF(Q47="Ei","x "))</f>
        <v>#N/A</v>
      </c>
      <c r="S47" s="677"/>
      <c r="T47" s="666" t="e">
        <f>IF(Q47="Jah", LOOKUP(N47,'HT-Energia (M1, M2)'!$B$56:$B$58,'HT-Energia (M1, M2)'!$E$56:$E$58),IF(Q47= "Ei", " "))</f>
        <v>#N/A</v>
      </c>
      <c r="U47" s="528" t="e">
        <f t="shared" si="0"/>
        <v>#N/A</v>
      </c>
      <c r="V47" s="528" t="e">
        <f t="shared" si="4"/>
        <v>#N/A</v>
      </c>
      <c r="X47" s="618"/>
      <c r="Y47" s="923"/>
      <c r="Z47" s="924"/>
      <c r="AA47" s="664"/>
      <c r="AB47" s="572" t="s">
        <v>75</v>
      </c>
      <c r="AC47" s="621" t="e">
        <f>IF(AB47="Jah",LOOKUP(Y47,'HT-Energia (M1, M2)'!$B$57:$B$58,'HT-Energia (M1, M2)'!$C$57:$C$58),IF(AB47="Ei","x "))</f>
        <v>#N/A</v>
      </c>
      <c r="AD47" s="677"/>
      <c r="AE47" s="666" t="e">
        <f>IF(AB47="Jah", LOOKUP(Y47,'HT-Energia (M1, M2)'!$B$56:$B$58,'HT-Energia (M1, M2)'!$E$56:$E$58),IF(AB47= "Ei", " "))</f>
        <v>#N/A</v>
      </c>
      <c r="AF47" s="528" t="e">
        <f t="shared" si="1"/>
        <v>#N/A</v>
      </c>
      <c r="AG47" s="528" t="e">
        <f t="shared" si="5"/>
        <v>#N/A</v>
      </c>
    </row>
    <row r="48" spans="1:33" ht="15" customHeight="1">
      <c r="B48" s="618"/>
      <c r="C48" s="923"/>
      <c r="D48" s="924"/>
      <c r="E48" s="664"/>
      <c r="F48" s="572" t="s">
        <v>75</v>
      </c>
      <c r="G48" s="621" t="e">
        <f>IF(F48="Jah",LOOKUP(C48,'HT-Energia (M1, M2)'!$B$56:$B$58,'HT-Energia (M1, M2)'!$C$56:$C$58),IF(F48="Ei","x "))</f>
        <v>#N/A</v>
      </c>
      <c r="H48" s="677"/>
      <c r="I48" s="666" t="e">
        <f>IF(F48="Jah", LOOKUP(C48,'HT-Energia (M1, M2)'!$B$56:$B$58,'HT-Energia (M1, M2)'!$E$56:$E$58),IF(F48= "Ei", " "))</f>
        <v>#N/A</v>
      </c>
      <c r="J48" s="528" t="e">
        <f t="shared" si="2"/>
        <v>#N/A</v>
      </c>
      <c r="K48" s="528" t="e">
        <f t="shared" si="3"/>
        <v>#N/A</v>
      </c>
      <c r="M48" s="618"/>
      <c r="N48" s="923"/>
      <c r="O48" s="924"/>
      <c r="P48" s="664"/>
      <c r="Q48" s="572" t="s">
        <v>75</v>
      </c>
      <c r="R48" s="621" t="e">
        <f>IF(Q48="Jah",LOOKUP(N48,'HT-Energia (M1, M2)'!$B$56:$B$58,'HT-Energia (M1, M2)'!$C$56:$C$58),IF(Q48="Ei","x "))</f>
        <v>#N/A</v>
      </c>
      <c r="S48" s="677"/>
      <c r="T48" s="666" t="e">
        <f>IF(Q48="Jah", LOOKUP(N48,'HT-Energia (M1, M2)'!$B$56:$B$58,'HT-Energia (M1, M2)'!$E$56:$E$58),IF(Q48= "Ei", " "))</f>
        <v>#N/A</v>
      </c>
      <c r="U48" s="528" t="e">
        <f t="shared" si="0"/>
        <v>#N/A</v>
      </c>
      <c r="V48" s="528" t="e">
        <f t="shared" si="4"/>
        <v>#N/A</v>
      </c>
      <c r="X48" s="618"/>
      <c r="Y48" s="923"/>
      <c r="Z48" s="924"/>
      <c r="AA48" s="664"/>
      <c r="AB48" s="572" t="s">
        <v>75</v>
      </c>
      <c r="AC48" s="621" t="e">
        <f>IF(AB48="Jah",LOOKUP(Y48,'HT-Energia (M1, M2)'!$B$57:$B$58,'HT-Energia (M1, M2)'!$C$57:$C$58),IF(AB48="Ei","x "))</f>
        <v>#N/A</v>
      </c>
      <c r="AD48" s="677"/>
      <c r="AE48" s="666" t="e">
        <f>IF(AB48="Jah", LOOKUP(Y48,'HT-Energia (M1, M2)'!$B$56:$B$58,'HT-Energia (M1, M2)'!$E$56:$E$58),IF(AB48= "Ei", " "))</f>
        <v>#N/A</v>
      </c>
      <c r="AF48" s="528" t="e">
        <f t="shared" si="1"/>
        <v>#N/A</v>
      </c>
      <c r="AG48" s="528" t="e">
        <f t="shared" si="5"/>
        <v>#N/A</v>
      </c>
    </row>
    <row r="49" spans="1:33" ht="15" customHeight="1">
      <c r="B49" s="618"/>
      <c r="C49" s="923"/>
      <c r="D49" s="924"/>
      <c r="E49" s="664"/>
      <c r="F49" s="572" t="s">
        <v>75</v>
      </c>
      <c r="G49" s="621" t="e">
        <f>IF(F49="Jah",LOOKUP(C49,'HT-Energia (M1, M2)'!$B$56:$B$58,'HT-Energia (M1, M2)'!$C$56:$C$58),IF(F49="Ei","x "))</f>
        <v>#N/A</v>
      </c>
      <c r="H49" s="677"/>
      <c r="I49" s="666" t="e">
        <f>IF(F49="Jah", LOOKUP(C49,'HT-Energia (M1, M2)'!$B$56:$B$58,'HT-Energia (M1, M2)'!$E$56:$E$58),IF(F49= "Ei", " "))</f>
        <v>#N/A</v>
      </c>
      <c r="J49" s="528" t="e">
        <f t="shared" si="2"/>
        <v>#N/A</v>
      </c>
      <c r="K49" s="528" t="e">
        <f t="shared" si="3"/>
        <v>#N/A</v>
      </c>
      <c r="M49" s="618"/>
      <c r="N49" s="923"/>
      <c r="O49" s="924"/>
      <c r="P49" s="664"/>
      <c r="Q49" s="572" t="s">
        <v>75</v>
      </c>
      <c r="R49" s="621" t="e">
        <f>IF(Q49="Jah",LOOKUP(N49,'HT-Energia (M1, M2)'!$B$56:$B$58,'HT-Energia (M1, M2)'!$C$56:$C$58),IF(Q49="Ei","x "))</f>
        <v>#N/A</v>
      </c>
      <c r="S49" s="677"/>
      <c r="T49" s="666" t="e">
        <f>IF(Q49="Jah", LOOKUP(N49,'HT-Energia (M1, M2)'!$B$56:$B$58,'HT-Energia (M1, M2)'!$E$56:$E$58),IF(Q49= "Ei", " "))</f>
        <v>#N/A</v>
      </c>
      <c r="U49" s="528" t="e">
        <f t="shared" si="0"/>
        <v>#N/A</v>
      </c>
      <c r="V49" s="528" t="e">
        <f t="shared" si="4"/>
        <v>#N/A</v>
      </c>
      <c r="X49" s="618"/>
      <c r="Y49" s="923"/>
      <c r="Z49" s="924"/>
      <c r="AA49" s="664"/>
      <c r="AB49" s="572" t="s">
        <v>75</v>
      </c>
      <c r="AC49" s="621" t="e">
        <f>IF(AB49="Jah",LOOKUP(Y49,'HT-Energia (M1, M2)'!$B$57:$B$58,'HT-Energia (M1, M2)'!$C$57:$C$58),IF(AB49="Ei","x "))</f>
        <v>#N/A</v>
      </c>
      <c r="AD49" s="677"/>
      <c r="AE49" s="666" t="e">
        <f>IF(AB49="Jah", LOOKUP(Y49,'HT-Energia (M1, M2)'!$B$56:$B$58,'HT-Energia (M1, M2)'!$E$56:$E$58),IF(AB49= "Ei", " "))</f>
        <v>#N/A</v>
      </c>
      <c r="AF49" s="528" t="e">
        <f t="shared" si="1"/>
        <v>#N/A</v>
      </c>
      <c r="AG49" s="528" t="e">
        <f t="shared" si="5"/>
        <v>#N/A</v>
      </c>
    </row>
    <row r="50" spans="1:33" ht="15" customHeight="1" thickBot="1">
      <c r="A50" s="297"/>
      <c r="B50" s="667"/>
      <c r="C50" s="930"/>
      <c r="D50" s="931"/>
      <c r="E50" s="668"/>
      <c r="F50" s="576" t="s">
        <v>75</v>
      </c>
      <c r="G50" s="621" t="e">
        <f>IF(F50="Jah",LOOKUP(C50,'HT-Energia (M1, M2)'!$B$56:$B$58,'HT-Energia (M1, M2)'!$C$56:$C$58),IF(F50="Ei","x "))</f>
        <v>#N/A</v>
      </c>
      <c r="H50" s="678"/>
      <c r="I50" s="666" t="e">
        <f>IF(F50="Jah", LOOKUP(C50,'HT-Energia (M1, M2)'!$B$56:$B$58,'HT-Energia (M1, M2)'!$E$56:$E$58),IF(F50= "Ei", " "))</f>
        <v>#N/A</v>
      </c>
      <c r="J50" s="530" t="e">
        <f t="shared" si="2"/>
        <v>#N/A</v>
      </c>
      <c r="K50" s="530" t="e">
        <f t="shared" si="3"/>
        <v>#N/A</v>
      </c>
      <c r="M50" s="667"/>
      <c r="N50" s="930"/>
      <c r="O50" s="931"/>
      <c r="P50" s="668"/>
      <c r="Q50" s="576" t="s">
        <v>75</v>
      </c>
      <c r="R50" s="621" t="e">
        <f>IF(Q50="Jah",LOOKUP(N50,'HT-Energia (M1, M2)'!$B$56:$B$58,'HT-Energia (M1, M2)'!$C$56:$C$58),IF(Q50="Ei","x "))</f>
        <v>#N/A</v>
      </c>
      <c r="S50" s="678"/>
      <c r="T50" s="666" t="e">
        <f>IF(Q50="Jah", LOOKUP(N50,'HT-Energia (M1, M2)'!$B$56:$B$58,'HT-Energia (M1, M2)'!$E$56:$E$58),IF(Q50= "Ei", " "))</f>
        <v>#N/A</v>
      </c>
      <c r="U50" s="530" t="e">
        <f t="shared" si="0"/>
        <v>#N/A</v>
      </c>
      <c r="V50" s="530" t="e">
        <f t="shared" si="4"/>
        <v>#N/A</v>
      </c>
      <c r="X50" s="667"/>
      <c r="Y50" s="930"/>
      <c r="Z50" s="931"/>
      <c r="AA50" s="668"/>
      <c r="AB50" s="576" t="s">
        <v>75</v>
      </c>
      <c r="AC50" s="669" t="e">
        <f>IF(AB50="Jah",LOOKUP(Y50,'HT-Energia (M1, M2)'!$B$57:$B$58,'HT-Energia (M1, M2)'!$C$57:$C$58),IF(AB50="Ei","x "))</f>
        <v>#N/A</v>
      </c>
      <c r="AD50" s="678"/>
      <c r="AE50" s="666" t="e">
        <f>IF(AB50="Jah", LOOKUP(Y50,'HT-Energia (M1, M2)'!$B$56:$B$58,'HT-Energia (M1, M2)'!$E$56:$E$58),IF(AB50= "Ei", " "))</f>
        <v>#N/A</v>
      </c>
      <c r="AF50" s="530" t="e">
        <f t="shared" si="1"/>
        <v>#N/A</v>
      </c>
      <c r="AG50" s="530" t="e">
        <f t="shared" si="5"/>
        <v>#N/A</v>
      </c>
    </row>
    <row r="51" spans="1:33" ht="15" customHeight="1" thickTop="1" thickBot="1">
      <c r="A51" s="297"/>
      <c r="B51" s="579"/>
      <c r="C51" s="580"/>
      <c r="D51" s="580"/>
      <c r="E51" s="580"/>
      <c r="F51" s="580"/>
      <c r="G51" s="580"/>
      <c r="H51" s="580"/>
      <c r="I51" s="533" t="s">
        <v>1592</v>
      </c>
      <c r="J51" s="672">
        <f>SUMIF(J41:J50,"&lt;&gt;#N/A")</f>
        <v>31829</v>
      </c>
      <c r="K51" s="582">
        <f>SUMIF(K41:K50,"&lt;&gt;#N/A")</f>
        <v>31.829000000000001</v>
      </c>
      <c r="M51" s="579"/>
      <c r="N51" s="580"/>
      <c r="O51" s="580"/>
      <c r="P51" s="580"/>
      <c r="Q51" s="580"/>
      <c r="R51" s="580"/>
      <c r="S51" s="580"/>
      <c r="T51" s="533" t="s">
        <v>1592</v>
      </c>
      <c r="U51" s="672">
        <f>SUMIF(U41:U50,"&lt;&gt;#N/A")</f>
        <v>25463.200000000001</v>
      </c>
      <c r="V51" s="582">
        <f>SUMIF(V41:V50,"&lt;&gt;#N/A")</f>
        <v>25.463200000000001</v>
      </c>
      <c r="X51" s="579"/>
      <c r="Y51" s="580"/>
      <c r="Z51" s="580"/>
      <c r="AA51" s="580"/>
      <c r="AB51" s="580"/>
      <c r="AC51" s="580"/>
      <c r="AD51" s="580"/>
      <c r="AE51" s="533" t="s">
        <v>1592</v>
      </c>
      <c r="AF51" s="672">
        <f>SUMIF(AF41:AF50,"&lt;&gt;#N/A")</f>
        <v>6365.8</v>
      </c>
      <c r="AG51" s="582">
        <f>SUMIF(AG41:AG50,"&lt;&gt;#N/A")</f>
        <v>6.3658000000000001</v>
      </c>
    </row>
    <row r="52" spans="1:33" ht="15" customHeight="1" thickTop="1">
      <c r="A52" s="297"/>
    </row>
    <row r="54" spans="1:33" ht="15" customHeight="1">
      <c r="B54" s="308" t="s">
        <v>2223</v>
      </c>
      <c r="C54" s="543"/>
      <c r="D54" s="543"/>
      <c r="E54" s="543"/>
      <c r="F54" s="543"/>
      <c r="G54" s="543"/>
      <c r="H54" s="543"/>
      <c r="I54" s="543"/>
      <c r="J54" s="543"/>
      <c r="K54" s="544"/>
      <c r="M54" s="308" t="s">
        <v>2223</v>
      </c>
      <c r="N54" s="543"/>
      <c r="O54" s="543"/>
      <c r="P54" s="543"/>
      <c r="Q54" s="543"/>
      <c r="R54" s="543"/>
      <c r="S54" s="543"/>
      <c r="T54" s="543"/>
      <c r="U54" s="543"/>
      <c r="V54" s="544"/>
      <c r="X54" s="308" t="s">
        <v>2223</v>
      </c>
      <c r="Y54" s="543"/>
      <c r="Z54" s="543"/>
      <c r="AA54" s="543"/>
      <c r="AB54" s="543"/>
      <c r="AC54" s="543"/>
      <c r="AD54" s="543"/>
      <c r="AE54" s="543"/>
      <c r="AF54" s="543"/>
      <c r="AG54" s="544"/>
    </row>
    <row r="55" spans="1:33" ht="15" customHeight="1">
      <c r="B55" s="925" t="s">
        <v>57</v>
      </c>
      <c r="C55" s="914" t="s">
        <v>100</v>
      </c>
      <c r="D55" s="914"/>
      <c r="E55" s="925" t="s">
        <v>101</v>
      </c>
      <c r="F55" s="914" t="s">
        <v>85</v>
      </c>
      <c r="G55" s="914" t="s">
        <v>69</v>
      </c>
      <c r="H55" s="914" t="s">
        <v>70</v>
      </c>
      <c r="I55" s="914" t="s">
        <v>71</v>
      </c>
      <c r="J55" s="908" t="s">
        <v>86</v>
      </c>
      <c r="K55" s="909"/>
      <c r="M55" s="925" t="s">
        <v>57</v>
      </c>
      <c r="N55" s="914" t="s">
        <v>100</v>
      </c>
      <c r="O55" s="914"/>
      <c r="P55" s="925" t="s">
        <v>101</v>
      </c>
      <c r="Q55" s="914" t="s">
        <v>85</v>
      </c>
      <c r="R55" s="914" t="s">
        <v>69</v>
      </c>
      <c r="S55" s="914" t="s">
        <v>70</v>
      </c>
      <c r="T55" s="914" t="s">
        <v>71</v>
      </c>
      <c r="U55" s="908" t="s">
        <v>86</v>
      </c>
      <c r="V55" s="909"/>
      <c r="X55" s="925" t="s">
        <v>57</v>
      </c>
      <c r="Y55" s="914" t="s">
        <v>100</v>
      </c>
      <c r="Z55" s="914"/>
      <c r="AA55" s="925" t="s">
        <v>101</v>
      </c>
      <c r="AB55" s="914" t="s">
        <v>85</v>
      </c>
      <c r="AC55" s="914" t="s">
        <v>69</v>
      </c>
      <c r="AD55" s="914" t="s">
        <v>70</v>
      </c>
      <c r="AE55" s="914" t="s">
        <v>71</v>
      </c>
      <c r="AF55" s="908" t="s">
        <v>86</v>
      </c>
      <c r="AG55" s="909"/>
    </row>
    <row r="56" spans="1:33" ht="15" customHeight="1">
      <c r="B56" s="926"/>
      <c r="C56" s="915"/>
      <c r="D56" s="915"/>
      <c r="E56" s="926"/>
      <c r="F56" s="915"/>
      <c r="G56" s="915"/>
      <c r="H56" s="915"/>
      <c r="I56" s="915"/>
      <c r="J56" s="928"/>
      <c r="K56" s="929"/>
      <c r="M56" s="926"/>
      <c r="N56" s="915"/>
      <c r="O56" s="915"/>
      <c r="P56" s="926"/>
      <c r="Q56" s="915"/>
      <c r="R56" s="915"/>
      <c r="S56" s="915"/>
      <c r="T56" s="915"/>
      <c r="U56" s="928"/>
      <c r="V56" s="929"/>
      <c r="X56" s="926"/>
      <c r="Y56" s="915"/>
      <c r="Z56" s="915"/>
      <c r="AA56" s="926"/>
      <c r="AB56" s="915"/>
      <c r="AC56" s="915"/>
      <c r="AD56" s="915"/>
      <c r="AE56" s="915"/>
      <c r="AF56" s="928"/>
      <c r="AG56" s="929"/>
    </row>
    <row r="57" spans="1:33" ht="15" customHeight="1">
      <c r="B57" s="926"/>
      <c r="C57" s="915"/>
      <c r="D57" s="915"/>
      <c r="E57" s="926"/>
      <c r="F57" s="922"/>
      <c r="G57" s="922"/>
      <c r="H57" s="922"/>
      <c r="I57" s="915"/>
      <c r="J57" s="910"/>
      <c r="K57" s="911"/>
      <c r="M57" s="926"/>
      <c r="N57" s="915"/>
      <c r="O57" s="915"/>
      <c r="P57" s="926"/>
      <c r="Q57" s="922"/>
      <c r="R57" s="922"/>
      <c r="S57" s="922"/>
      <c r="T57" s="915"/>
      <c r="U57" s="910"/>
      <c r="V57" s="911"/>
      <c r="X57" s="926"/>
      <c r="Y57" s="915"/>
      <c r="Z57" s="915"/>
      <c r="AA57" s="926"/>
      <c r="AB57" s="922"/>
      <c r="AC57" s="922"/>
      <c r="AD57" s="922"/>
      <c r="AE57" s="915"/>
      <c r="AF57" s="910"/>
      <c r="AG57" s="911"/>
    </row>
    <row r="58" spans="1:33" ht="15" customHeight="1">
      <c r="B58" s="927"/>
      <c r="C58" s="922"/>
      <c r="D58" s="922"/>
      <c r="E58" s="927"/>
      <c r="F58" s="571" t="s">
        <v>73</v>
      </c>
      <c r="G58" s="920" t="s">
        <v>2098</v>
      </c>
      <c r="H58" s="921"/>
      <c r="I58" s="922"/>
      <c r="J58" s="782" t="s">
        <v>2085</v>
      </c>
      <c r="K58" s="782" t="s">
        <v>2086</v>
      </c>
      <c r="M58" s="927"/>
      <c r="N58" s="922"/>
      <c r="O58" s="922"/>
      <c r="P58" s="927"/>
      <c r="Q58" s="571" t="s">
        <v>73</v>
      </c>
      <c r="R58" s="920" t="s">
        <v>2098</v>
      </c>
      <c r="S58" s="921"/>
      <c r="T58" s="922"/>
      <c r="U58" s="782" t="s">
        <v>2085</v>
      </c>
      <c r="V58" s="782" t="s">
        <v>2086</v>
      </c>
      <c r="X58" s="927"/>
      <c r="Y58" s="922"/>
      <c r="Z58" s="922"/>
      <c r="AA58" s="927"/>
      <c r="AB58" s="571" t="s">
        <v>73</v>
      </c>
      <c r="AC58" s="920" t="s">
        <v>2098</v>
      </c>
      <c r="AD58" s="921"/>
      <c r="AE58" s="922"/>
      <c r="AF58" s="782" t="s">
        <v>2085</v>
      </c>
      <c r="AG58" s="782" t="s">
        <v>2086</v>
      </c>
    </row>
    <row r="59" spans="1:33" ht="15" customHeight="1">
      <c r="B59" s="618">
        <v>1</v>
      </c>
      <c r="C59" s="923" t="s">
        <v>2279</v>
      </c>
      <c r="D59" s="924"/>
      <c r="E59" s="664">
        <v>500</v>
      </c>
      <c r="F59" s="572" t="s">
        <v>75</v>
      </c>
      <c r="G59" s="645">
        <f>IF(F59="Jah",LOOKUP(C59,'HT-Energia (M1, M2)'!$B$60:$B$61,'HT-Energia (M1, M2)'!$C$60:$C$61),IF(F59="Ei","x "))</f>
        <v>0</v>
      </c>
      <c r="H59" s="694"/>
      <c r="I59" s="682" t="str">
        <f>IF(F59="Jah", LOOKUP(C59,'HT-Energia (M1, M2)'!$B$60:$B$61,'HT-Energia (M1, M2)'!$E$60:$E$61),IF(F59= "Ei", " "))</f>
        <v xml:space="preserve">CoM 2017 </v>
      </c>
      <c r="J59" s="528">
        <f>IF(F59="Jah",E59*(G59), IF(F59="Ei",H59*E59))</f>
        <v>0</v>
      </c>
      <c r="K59" s="528">
        <f>J59*0.001</f>
        <v>0</v>
      </c>
      <c r="M59" s="618">
        <v>1</v>
      </c>
      <c r="N59" s="923" t="s">
        <v>2280</v>
      </c>
      <c r="O59" s="924"/>
      <c r="P59" s="664">
        <v>800</v>
      </c>
      <c r="Q59" s="572" t="s">
        <v>75</v>
      </c>
      <c r="R59" s="645">
        <f>IF(Q59="Jah",LOOKUP(N59,'HT-Energia (M1, M2)'!$B$60:$B$61,'HT-Energia (M1, M2)'!$C$60:$C$61),IF(Q59="Ei","x "))</f>
        <v>0.63658000000000003</v>
      </c>
      <c r="S59" s="694"/>
      <c r="T59" s="682" t="str">
        <f>IF(Q59="Jah", LOOKUP(N59,'HT-Energia (M1, M2)'!$B$60:$B$61,'HT-Energia (M1, M2)'!$E$60:$E$61),IF(Q59= "Ei", " "))</f>
        <v>Elering 2022. Elektrienergia segajäägi eriheide 2021</v>
      </c>
      <c r="U59" s="528">
        <f>IF(Q59="Jah",P59*(R59), IF(Q59="Ei",S59*P59))</f>
        <v>509.26400000000001</v>
      </c>
      <c r="V59" s="528">
        <f>U59*0.001</f>
        <v>0.50926400000000005</v>
      </c>
      <c r="X59" s="618">
        <v>1</v>
      </c>
      <c r="Y59" s="923" t="s">
        <v>2280</v>
      </c>
      <c r="Z59" s="924"/>
      <c r="AA59" s="664">
        <v>500</v>
      </c>
      <c r="AB59" s="572" t="s">
        <v>75</v>
      </c>
      <c r="AC59" s="645">
        <f>IF(AB59="Jah",LOOKUP(Y59,'HT-Energia (M1, M2)'!$B$60:$B$61,'HT-Energia (M1, M2)'!$C$60:$C$61),IF(AB59="Ei","x "))</f>
        <v>0.63658000000000003</v>
      </c>
      <c r="AD59" s="694"/>
      <c r="AE59" s="682" t="str">
        <f>IF(AB59="Jah", LOOKUP(Y59,'HT-Energia (M1, M2)'!$B$60:$B$61,'HT-Energia (M1, M2)'!$E$60:$E$61),IF(AB59= "Ei", " "))</f>
        <v>Elering 2022. Elektrienergia segajäägi eriheide 2021</v>
      </c>
      <c r="AF59" s="528">
        <f>IF(AB59="Jah",AA59*(AC59), IF(AB59="Ei",AD59*AA59))</f>
        <v>318.29000000000002</v>
      </c>
      <c r="AG59" s="528">
        <f>AF59*0.001</f>
        <v>0.31829000000000002</v>
      </c>
    </row>
    <row r="60" spans="1:33" ht="15" customHeight="1">
      <c r="B60" s="618">
        <v>2</v>
      </c>
      <c r="C60" s="923" t="s">
        <v>2280</v>
      </c>
      <c r="D60" s="924"/>
      <c r="E60" s="664">
        <v>500</v>
      </c>
      <c r="F60" s="572" t="s">
        <v>75</v>
      </c>
      <c r="G60" s="645">
        <f>IF(F60="Jah",LOOKUP(C60,'HT-Energia (M1, M2)'!$B$60:$B$61,'HT-Energia (M1, M2)'!$C$60:$C$61),IF(F60="Ei","x "))</f>
        <v>0.63658000000000003</v>
      </c>
      <c r="H60" s="694"/>
      <c r="I60" s="682" t="str">
        <f>IF(F60="Jah", LOOKUP(C60,'HT-Energia (M1, M2)'!$B$60:$B$61,'HT-Energia (M1, M2)'!$E$60:$E$61),IF(F60= "Ei", " "))</f>
        <v>Elering 2022. Elektrienergia segajäägi eriheide 2021</v>
      </c>
      <c r="J60" s="528">
        <f t="shared" ref="J60:J68" si="6">IF(F60="Jah",E60*(G60), IF(F60="Ei",H60*E60))</f>
        <v>318.29000000000002</v>
      </c>
      <c r="K60" s="528">
        <f t="shared" ref="K60:K68" si="7">J60*0.001</f>
        <v>0.31829000000000002</v>
      </c>
      <c r="M60" s="618">
        <v>2</v>
      </c>
      <c r="N60" s="923" t="s">
        <v>2279</v>
      </c>
      <c r="O60" s="924"/>
      <c r="P60" s="664">
        <v>200</v>
      </c>
      <c r="Q60" s="572" t="s">
        <v>75</v>
      </c>
      <c r="R60" s="645">
        <f>IF(Q60="Jah",LOOKUP(N60,'HT-Energia (M1, M2)'!$B$60:$B$61,'HT-Energia (M1, M2)'!$C$60:$C$61),IF(Q60="Ei","x "))</f>
        <v>0</v>
      </c>
      <c r="S60" s="694"/>
      <c r="T60" s="682" t="str">
        <f>IF(Q60="Jah", LOOKUP(N60,'HT-Energia (M1, M2)'!$B$60:$B$61,'HT-Energia (M1, M2)'!$E$60:$E$61),IF(Q60= "Ei", " "))</f>
        <v xml:space="preserve">CoM 2017 </v>
      </c>
      <c r="U60" s="528">
        <f t="shared" ref="U60" si="8">IF(Q60="Jah",P60*(R60), IF(Q60="Ei",S60*P60))</f>
        <v>0</v>
      </c>
      <c r="V60" s="528">
        <f t="shared" ref="V60:V68" si="9">U60*0.001</f>
        <v>0</v>
      </c>
      <c r="X60" s="618">
        <v>2</v>
      </c>
      <c r="Y60" s="923" t="s">
        <v>2280</v>
      </c>
      <c r="Z60" s="924"/>
      <c r="AA60" s="664">
        <v>200</v>
      </c>
      <c r="AB60" s="572" t="s">
        <v>75</v>
      </c>
      <c r="AC60" s="645">
        <f>IF(AB60="Jah",LOOKUP(Y60,'HT-Energia (M1, M2)'!$B$60:$B$61,'HT-Energia (M1, M2)'!$C$60:$C$61),IF(AB60="Ei","x "))</f>
        <v>0.63658000000000003</v>
      </c>
      <c r="AD60" s="694"/>
      <c r="AE60" s="682" t="str">
        <f>IF(AB60="Jah", LOOKUP(Y60,'HT-Energia (M1, M2)'!$B$60:$B$61,'HT-Energia (M1, M2)'!$E$60:$E$61),IF(AB60= "Ei", " "))</f>
        <v>Elering 2022. Elektrienergia segajäägi eriheide 2021</v>
      </c>
      <c r="AF60" s="528">
        <f t="shared" ref="AF60" si="10">IF(AB60="Jah",AA60*(AC60), IF(AB60="Ei",AD60*AA60))</f>
        <v>127.316</v>
      </c>
      <c r="AG60" s="528">
        <f t="shared" ref="AG60:AG68" si="11">AF60*0.001</f>
        <v>0.12731600000000001</v>
      </c>
    </row>
    <row r="61" spans="1:33" ht="15" customHeight="1">
      <c r="B61" s="618"/>
      <c r="C61" s="923"/>
      <c r="D61" s="924"/>
      <c r="E61" s="664"/>
      <c r="F61" s="572" t="s">
        <v>75</v>
      </c>
      <c r="G61" s="645" t="e">
        <f>IF(F61="Jah",LOOKUP(C61,'HT-Energia (M1, M2)'!$B$60:$B$61,'HT-Energia (M1, M2)'!$C$60:$C$61),IF(F61="Ei","x "))</f>
        <v>#N/A</v>
      </c>
      <c r="H61" s="694"/>
      <c r="I61" s="682" t="e">
        <f>IF(F61="Jah", LOOKUP(C61,'HT-Energia (M1, M2)'!$B$60:$B$61,'HT-Energia (M1, M2)'!$E$60:$E$61),IF(F61= "Ei", " "))</f>
        <v>#N/A</v>
      </c>
      <c r="J61" s="528" t="e">
        <f>IF(F61="Jah",E61*(G61), IF(F61="Ei",H61*E61))</f>
        <v>#N/A</v>
      </c>
      <c r="K61" s="528" t="e">
        <f t="shared" si="7"/>
        <v>#N/A</v>
      </c>
      <c r="M61" s="618"/>
      <c r="N61" s="923"/>
      <c r="O61" s="924"/>
      <c r="P61" s="664"/>
      <c r="Q61" s="572" t="s">
        <v>75</v>
      </c>
      <c r="R61" s="645" t="e">
        <f>IF(Q61="Jah",LOOKUP(N61,'HT-Energia (M1, M2)'!$B$60:$B$61,'HT-Energia (M1, M2)'!$C$60:$C$61),IF(Q61="Ei","x "))</f>
        <v>#N/A</v>
      </c>
      <c r="S61" s="694"/>
      <c r="T61" s="682" t="e">
        <f>IF(Q61="Jah", LOOKUP(N61,'HT-Energia (M1, M2)'!$B$60:$B$61,'HT-Energia (M1, M2)'!$E$60:$E$61),IF(Q61= "Ei", " "))</f>
        <v>#N/A</v>
      </c>
      <c r="U61" s="528" t="e">
        <f>IF(Q61="Jah",P61*(R61), IF(Q61="Ei",S61*P61))</f>
        <v>#N/A</v>
      </c>
      <c r="V61" s="528" t="e">
        <f t="shared" si="9"/>
        <v>#N/A</v>
      </c>
      <c r="X61" s="618"/>
      <c r="Y61" s="923"/>
      <c r="Z61" s="924"/>
      <c r="AA61" s="664"/>
      <c r="AB61" s="572" t="s">
        <v>75</v>
      </c>
      <c r="AC61" s="645" t="e">
        <f>IF(AB61="Jah",LOOKUP(Y61,'HT-Energia (M1, M2)'!$B$60:$B$61,'HT-Energia (M1, M2)'!$C$60:$C$61),IF(AB61="Ei","x "))</f>
        <v>#N/A</v>
      </c>
      <c r="AD61" s="694"/>
      <c r="AE61" s="682" t="e">
        <f>IF(AB61="Jah", LOOKUP(Y61,'HT-Energia (M1, M2)'!$B$60:$B$61,'HT-Energia (M1, M2)'!$E$60:$E$61),IF(AB61= "Ei", " "))</f>
        <v>#N/A</v>
      </c>
      <c r="AF61" s="528" t="e">
        <f>IF(AB61="Jah",AA61*(AC61), IF(AB61="Ei",AD61*AA61))</f>
        <v>#N/A</v>
      </c>
      <c r="AG61" s="528" t="e">
        <f t="shared" si="11"/>
        <v>#N/A</v>
      </c>
    </row>
    <row r="62" spans="1:33" ht="15" customHeight="1">
      <c r="B62" s="618"/>
      <c r="C62" s="923"/>
      <c r="D62" s="924"/>
      <c r="E62" s="664"/>
      <c r="F62" s="572" t="s">
        <v>75</v>
      </c>
      <c r="G62" s="645" t="e">
        <f>IF(F62="Jah",LOOKUP(C62,'HT-Energia (M1, M2)'!$B$60:$B$61,'HT-Energia (M1, M2)'!$C$60:$C$61),IF(F62="Ei","x "))</f>
        <v>#N/A</v>
      </c>
      <c r="H62" s="694"/>
      <c r="I62" s="682" t="e">
        <f>IF(F62="Jah", LOOKUP(C62,'HT-Energia (M1, M2)'!$B$60:$B$61,'HT-Energia (M1, M2)'!$E$60:$E$61),IF(F62= "Ei", " "))</f>
        <v>#N/A</v>
      </c>
      <c r="J62" s="528" t="e">
        <f t="shared" si="6"/>
        <v>#N/A</v>
      </c>
      <c r="K62" s="528" t="e">
        <f t="shared" si="7"/>
        <v>#N/A</v>
      </c>
      <c r="M62" s="618"/>
      <c r="N62" s="923"/>
      <c r="O62" s="924"/>
      <c r="P62" s="664"/>
      <c r="Q62" s="572" t="s">
        <v>75</v>
      </c>
      <c r="R62" s="645" t="e">
        <f>IF(Q62="Jah",LOOKUP(N62,'HT-Energia (M1, M2)'!$B$60:$B$61,'HT-Energia (M1, M2)'!$C$60:$C$61),IF(Q62="Ei","x "))</f>
        <v>#N/A</v>
      </c>
      <c r="S62" s="694"/>
      <c r="T62" s="682" t="e">
        <f>IF(Q62="Jah", LOOKUP(N62,'HT-Energia (M1, M2)'!$B$60:$B$61,'HT-Energia (M1, M2)'!$E$60:$E$61),IF(Q62= "Ei", " "))</f>
        <v>#N/A</v>
      </c>
      <c r="U62" s="528" t="e">
        <f t="shared" ref="U62:U68" si="12">IF(Q62="Jah",P62*(R62), IF(Q62="Ei",S62*P62))</f>
        <v>#N/A</v>
      </c>
      <c r="V62" s="528" t="e">
        <f t="shared" si="9"/>
        <v>#N/A</v>
      </c>
      <c r="X62" s="618"/>
      <c r="Y62" s="923"/>
      <c r="Z62" s="924"/>
      <c r="AA62" s="664"/>
      <c r="AB62" s="572" t="s">
        <v>75</v>
      </c>
      <c r="AC62" s="645" t="e">
        <f>IF(AB62="Jah",LOOKUP(Y62,'HT-Energia (M1, M2)'!$B$60:$B$61,'HT-Energia (M1, M2)'!$C$60:$C$61),IF(AB62="Ei","x "))</f>
        <v>#N/A</v>
      </c>
      <c r="AD62" s="694"/>
      <c r="AE62" s="682" t="e">
        <f>IF(AB62="Jah", LOOKUP(Y62,'HT-Energia (M1, M2)'!$B$60:$B$61,'HT-Energia (M1, M2)'!$E$60:$E$61),IF(AB62= "Ei", " "))</f>
        <v>#N/A</v>
      </c>
      <c r="AF62" s="528" t="e">
        <f t="shared" ref="AF62:AF68" si="13">IF(AB62="Jah",AA62*(AC62), IF(AB62="Ei",AD62*AA62))</f>
        <v>#N/A</v>
      </c>
      <c r="AG62" s="528" t="e">
        <f t="shared" si="11"/>
        <v>#N/A</v>
      </c>
    </row>
    <row r="63" spans="1:33" ht="15" customHeight="1">
      <c r="B63" s="618"/>
      <c r="C63" s="923"/>
      <c r="D63" s="924"/>
      <c r="E63" s="664"/>
      <c r="F63" s="572" t="s">
        <v>75</v>
      </c>
      <c r="G63" s="645" t="e">
        <f>IF(F63="Jah",LOOKUP(C63,'HT-Energia (M1, M2)'!$B$60:$B$61,'HT-Energia (M1, M2)'!$C$60:$C$61),IF(F63="Ei","x "))</f>
        <v>#N/A</v>
      </c>
      <c r="H63" s="694"/>
      <c r="I63" s="682" t="e">
        <f>IF(F63="Jah", LOOKUP(C63,'HT-Energia (M1, M2)'!$B$60:$B$61,'HT-Energia (M1, M2)'!$E$60:$E$61),IF(F63= "Ei", " "))</f>
        <v>#N/A</v>
      </c>
      <c r="J63" s="528" t="e">
        <f t="shared" si="6"/>
        <v>#N/A</v>
      </c>
      <c r="K63" s="528" t="e">
        <f t="shared" si="7"/>
        <v>#N/A</v>
      </c>
      <c r="M63" s="618"/>
      <c r="N63" s="923"/>
      <c r="O63" s="924"/>
      <c r="P63" s="664"/>
      <c r="Q63" s="572" t="s">
        <v>75</v>
      </c>
      <c r="R63" s="645" t="e">
        <f>IF(Q63="Jah",LOOKUP(N63,'HT-Energia (M1, M2)'!$B$60:$B$61,'HT-Energia (M1, M2)'!$C$60:$C$61),IF(Q63="Ei","x "))</f>
        <v>#N/A</v>
      </c>
      <c r="S63" s="694"/>
      <c r="T63" s="682" t="e">
        <f>IF(Q63="Jah", LOOKUP(N63,'HT-Energia (M1, M2)'!$B$60:$B$61,'HT-Energia (M1, M2)'!$E$60:$E$61),IF(Q63= "Ei", " "))</f>
        <v>#N/A</v>
      </c>
      <c r="U63" s="528" t="e">
        <f t="shared" si="12"/>
        <v>#N/A</v>
      </c>
      <c r="V63" s="528" t="e">
        <f t="shared" si="9"/>
        <v>#N/A</v>
      </c>
      <c r="X63" s="618"/>
      <c r="Y63" s="923"/>
      <c r="Z63" s="924"/>
      <c r="AA63" s="664"/>
      <c r="AB63" s="572" t="s">
        <v>75</v>
      </c>
      <c r="AC63" s="645" t="e">
        <f>IF(AB63="Jah",LOOKUP(Y63,'HT-Energia (M1, M2)'!$B$60:$B$61,'HT-Energia (M1, M2)'!$C$60:$C$61),IF(AB63="Ei","x "))</f>
        <v>#N/A</v>
      </c>
      <c r="AD63" s="694"/>
      <c r="AE63" s="682" t="e">
        <f>IF(AB63="Jah", LOOKUP(Y63,'HT-Energia (M1, M2)'!$B$60:$B$61,'HT-Energia (M1, M2)'!$E$60:$E$61),IF(AB63= "Ei", " "))</f>
        <v>#N/A</v>
      </c>
      <c r="AF63" s="528" t="e">
        <f t="shared" si="13"/>
        <v>#N/A</v>
      </c>
      <c r="AG63" s="528" t="e">
        <f t="shared" si="11"/>
        <v>#N/A</v>
      </c>
    </row>
    <row r="64" spans="1:33" ht="15" customHeight="1">
      <c r="B64" s="618"/>
      <c r="C64" s="923"/>
      <c r="D64" s="924"/>
      <c r="E64" s="664"/>
      <c r="F64" s="572" t="s">
        <v>75</v>
      </c>
      <c r="G64" s="645" t="e">
        <f>IF(F64="Jah",LOOKUP(C64,'HT-Energia (M1, M2)'!$B$60:$B$61,'HT-Energia (M1, M2)'!$C$60:$C$61),IF(F64="Ei","x "))</f>
        <v>#N/A</v>
      </c>
      <c r="H64" s="694"/>
      <c r="I64" s="682" t="e">
        <f>IF(F64="Jah", LOOKUP(C64,'HT-Energia (M1, M2)'!$B$60:$B$61,'HT-Energia (M1, M2)'!$E$60:$E$61),IF(F64= "Ei", " "))</f>
        <v>#N/A</v>
      </c>
      <c r="J64" s="528" t="e">
        <f t="shared" si="6"/>
        <v>#N/A</v>
      </c>
      <c r="K64" s="528" t="e">
        <f t="shared" si="7"/>
        <v>#N/A</v>
      </c>
      <c r="M64" s="618"/>
      <c r="N64" s="923"/>
      <c r="O64" s="924"/>
      <c r="P64" s="664"/>
      <c r="Q64" s="572" t="s">
        <v>75</v>
      </c>
      <c r="R64" s="645" t="e">
        <f>IF(Q64="Jah",LOOKUP(N64,'HT-Energia (M1, M2)'!$B$60:$B$61,'HT-Energia (M1, M2)'!$C$60:$C$61),IF(Q64="Ei","x "))</f>
        <v>#N/A</v>
      </c>
      <c r="S64" s="694"/>
      <c r="T64" s="682" t="e">
        <f>IF(Q64="Jah", LOOKUP(N64,'HT-Energia (M1, M2)'!$B$60:$B$61,'HT-Energia (M1, M2)'!$E$60:$E$61),IF(Q64= "Ei", " "))</f>
        <v>#N/A</v>
      </c>
      <c r="U64" s="528" t="e">
        <f t="shared" si="12"/>
        <v>#N/A</v>
      </c>
      <c r="V64" s="528" t="e">
        <f t="shared" si="9"/>
        <v>#N/A</v>
      </c>
      <c r="X64" s="618"/>
      <c r="Y64" s="923"/>
      <c r="Z64" s="924"/>
      <c r="AA64" s="664"/>
      <c r="AB64" s="572" t="s">
        <v>75</v>
      </c>
      <c r="AC64" s="645" t="e">
        <f>IF(AB64="Jah",LOOKUP(Y64,'HT-Energia (M1, M2)'!$B$60:$B$61,'HT-Energia (M1, M2)'!$C$60:$C$61),IF(AB64="Ei","x "))</f>
        <v>#N/A</v>
      </c>
      <c r="AD64" s="694"/>
      <c r="AE64" s="682" t="e">
        <f>IF(AB64="Jah", LOOKUP(Y64,'HT-Energia (M1, M2)'!$B$60:$B$61,'HT-Energia (M1, M2)'!$E$60:$E$61),IF(AB64= "Ei", " "))</f>
        <v>#N/A</v>
      </c>
      <c r="AF64" s="528" t="e">
        <f t="shared" si="13"/>
        <v>#N/A</v>
      </c>
      <c r="AG64" s="528" t="e">
        <f t="shared" si="11"/>
        <v>#N/A</v>
      </c>
    </row>
    <row r="65" spans="1:33" ht="15" customHeight="1">
      <c r="B65" s="618"/>
      <c r="C65" s="923"/>
      <c r="D65" s="924"/>
      <c r="E65" s="664"/>
      <c r="F65" s="572" t="s">
        <v>75</v>
      </c>
      <c r="G65" s="645" t="e">
        <f>IF(F65="Jah",LOOKUP(C65,'HT-Energia (M1, M2)'!$B$60:$B$61,'HT-Energia (M1, M2)'!$C$60:$C$61),IF(F65="Ei","x "))</f>
        <v>#N/A</v>
      </c>
      <c r="H65" s="694"/>
      <c r="I65" s="682" t="e">
        <f>IF(F65="Jah", LOOKUP(C65,'HT-Energia (M1, M2)'!$B$60:$B$61,'HT-Energia (M1, M2)'!$E$60:$E$61),IF(F65= "Ei", " "))</f>
        <v>#N/A</v>
      </c>
      <c r="J65" s="528" t="e">
        <f t="shared" si="6"/>
        <v>#N/A</v>
      </c>
      <c r="K65" s="528" t="e">
        <f t="shared" si="7"/>
        <v>#N/A</v>
      </c>
      <c r="M65" s="618"/>
      <c r="N65" s="923"/>
      <c r="O65" s="924"/>
      <c r="P65" s="664"/>
      <c r="Q65" s="572" t="s">
        <v>75</v>
      </c>
      <c r="R65" s="645" t="e">
        <f>IF(Q65="Jah",LOOKUP(N65,'HT-Energia (M1, M2)'!$B$60:$B$61,'HT-Energia (M1, M2)'!$C$60:$C$61),IF(Q65="Ei","x "))</f>
        <v>#N/A</v>
      </c>
      <c r="S65" s="694"/>
      <c r="T65" s="682" t="e">
        <f>IF(Q65="Jah", LOOKUP(N65,'HT-Energia (M1, M2)'!$B$60:$B$61,'HT-Energia (M1, M2)'!$E$60:$E$61),IF(Q65= "Ei", " "))</f>
        <v>#N/A</v>
      </c>
      <c r="U65" s="528" t="e">
        <f t="shared" si="12"/>
        <v>#N/A</v>
      </c>
      <c r="V65" s="528" t="e">
        <f t="shared" si="9"/>
        <v>#N/A</v>
      </c>
      <c r="X65" s="618"/>
      <c r="Y65" s="923"/>
      <c r="Z65" s="924"/>
      <c r="AA65" s="664"/>
      <c r="AB65" s="572" t="s">
        <v>75</v>
      </c>
      <c r="AC65" s="645" t="e">
        <f>IF(AB65="Jah",LOOKUP(Y65,'HT-Energia (M1, M2)'!$B$60:$B$61,'HT-Energia (M1, M2)'!$C$60:$C$61),IF(AB65="Ei","x "))</f>
        <v>#N/A</v>
      </c>
      <c r="AD65" s="694"/>
      <c r="AE65" s="682" t="e">
        <f>IF(AB65="Jah", LOOKUP(Y65,'HT-Energia (M1, M2)'!$B$60:$B$61,'HT-Energia (M1, M2)'!$E$60:$E$61),IF(AB65= "Ei", " "))</f>
        <v>#N/A</v>
      </c>
      <c r="AF65" s="528" t="e">
        <f t="shared" si="13"/>
        <v>#N/A</v>
      </c>
      <c r="AG65" s="528" t="e">
        <f t="shared" si="11"/>
        <v>#N/A</v>
      </c>
    </row>
    <row r="66" spans="1:33" ht="15" customHeight="1">
      <c r="B66" s="618"/>
      <c r="C66" s="923"/>
      <c r="D66" s="924"/>
      <c r="E66" s="664"/>
      <c r="F66" s="572" t="s">
        <v>75</v>
      </c>
      <c r="G66" s="645" t="e">
        <f>IF(F66="Jah",LOOKUP(C66,'HT-Energia (M1, M2)'!$B$60:$B$61,'HT-Energia (M1, M2)'!$C$60:$C$61),IF(F66="Ei","x "))</f>
        <v>#N/A</v>
      </c>
      <c r="H66" s="694"/>
      <c r="I66" s="682" t="e">
        <f>IF(F66="Jah", LOOKUP(C66,'HT-Energia (M1, M2)'!$B$60:$B$61,'HT-Energia (M1, M2)'!$E$60:$E$61),IF(F66= "Ei", " "))</f>
        <v>#N/A</v>
      </c>
      <c r="J66" s="528" t="e">
        <f t="shared" si="6"/>
        <v>#N/A</v>
      </c>
      <c r="K66" s="528" t="e">
        <f t="shared" si="7"/>
        <v>#N/A</v>
      </c>
      <c r="M66" s="618"/>
      <c r="N66" s="923"/>
      <c r="O66" s="924"/>
      <c r="P66" s="664"/>
      <c r="Q66" s="572" t="s">
        <v>75</v>
      </c>
      <c r="R66" s="645" t="e">
        <f>IF(Q66="Jah",LOOKUP(N66,'HT-Energia (M1, M2)'!$B$60:$B$61,'HT-Energia (M1, M2)'!$C$60:$C$61),IF(Q66="Ei","x "))</f>
        <v>#N/A</v>
      </c>
      <c r="S66" s="694"/>
      <c r="T66" s="682" t="e">
        <f>IF(Q66="Jah", LOOKUP(N66,'HT-Energia (M1, M2)'!$B$60:$B$61,'HT-Energia (M1, M2)'!$E$60:$E$61),IF(Q66= "Ei", " "))</f>
        <v>#N/A</v>
      </c>
      <c r="U66" s="528" t="e">
        <f t="shared" si="12"/>
        <v>#N/A</v>
      </c>
      <c r="V66" s="528" t="e">
        <f t="shared" si="9"/>
        <v>#N/A</v>
      </c>
      <c r="X66" s="618"/>
      <c r="Y66" s="923"/>
      <c r="Z66" s="924"/>
      <c r="AA66" s="664"/>
      <c r="AB66" s="572" t="s">
        <v>75</v>
      </c>
      <c r="AC66" s="645" t="e">
        <f>IF(AB66="Jah",LOOKUP(Y66,'HT-Energia (M1, M2)'!$B$60:$B$61,'HT-Energia (M1, M2)'!$C$60:$C$61),IF(AB66="Ei","x "))</f>
        <v>#N/A</v>
      </c>
      <c r="AD66" s="694"/>
      <c r="AE66" s="682" t="e">
        <f>IF(AB66="Jah", LOOKUP(Y66,'HT-Energia (M1, M2)'!$B$60:$B$61,'HT-Energia (M1, M2)'!$E$60:$E$61),IF(AB66= "Ei", " "))</f>
        <v>#N/A</v>
      </c>
      <c r="AF66" s="528" t="e">
        <f t="shared" si="13"/>
        <v>#N/A</v>
      </c>
      <c r="AG66" s="528" t="e">
        <f t="shared" si="11"/>
        <v>#N/A</v>
      </c>
    </row>
    <row r="67" spans="1:33" ht="15" customHeight="1">
      <c r="B67" s="618"/>
      <c r="C67" s="923"/>
      <c r="D67" s="924"/>
      <c r="E67" s="664"/>
      <c r="F67" s="572" t="s">
        <v>75</v>
      </c>
      <c r="G67" s="645" t="e">
        <f>IF(F67="Jah",LOOKUP(C67,'HT-Energia (M1, M2)'!$B$60:$B$61,'HT-Energia (M1, M2)'!$C$60:$C$61),IF(F67="Ei","x "))</f>
        <v>#N/A</v>
      </c>
      <c r="H67" s="694"/>
      <c r="I67" s="682" t="e">
        <f>IF(F67="Jah", LOOKUP(C67,'HT-Energia (M1, M2)'!$B$60:$B$61,'HT-Energia (M1, M2)'!$E$60:$E$61),IF(F67= "Ei", " "))</f>
        <v>#N/A</v>
      </c>
      <c r="J67" s="528" t="e">
        <f t="shared" si="6"/>
        <v>#N/A</v>
      </c>
      <c r="K67" s="528" t="e">
        <f t="shared" si="7"/>
        <v>#N/A</v>
      </c>
      <c r="M67" s="618"/>
      <c r="N67" s="923"/>
      <c r="O67" s="924"/>
      <c r="P67" s="664"/>
      <c r="Q67" s="572" t="s">
        <v>75</v>
      </c>
      <c r="R67" s="645" t="e">
        <f>IF(Q67="Jah",LOOKUP(N67,'HT-Energia (M1, M2)'!$B$60:$B$61,'HT-Energia (M1, M2)'!$C$60:$C$61),IF(Q67="Ei","x "))</f>
        <v>#N/A</v>
      </c>
      <c r="S67" s="694"/>
      <c r="T67" s="682" t="e">
        <f>IF(Q67="Jah", LOOKUP(N67,'HT-Energia (M1, M2)'!$B$60:$B$61,'HT-Energia (M1, M2)'!$E$60:$E$61),IF(Q67= "Ei", " "))</f>
        <v>#N/A</v>
      </c>
      <c r="U67" s="528" t="e">
        <f t="shared" si="12"/>
        <v>#N/A</v>
      </c>
      <c r="V67" s="528" t="e">
        <f t="shared" si="9"/>
        <v>#N/A</v>
      </c>
      <c r="X67" s="618"/>
      <c r="Y67" s="923"/>
      <c r="Z67" s="924"/>
      <c r="AA67" s="664"/>
      <c r="AB67" s="572" t="s">
        <v>75</v>
      </c>
      <c r="AC67" s="645" t="e">
        <f>IF(AB67="Jah",LOOKUP(Y67,'HT-Energia (M1, M2)'!$B$60:$B$61,'HT-Energia (M1, M2)'!$C$60:$C$61),IF(AB67="Ei","x "))</f>
        <v>#N/A</v>
      </c>
      <c r="AD67" s="694"/>
      <c r="AE67" s="682" t="e">
        <f>IF(AB67="Jah", LOOKUP(Y67,'HT-Energia (M1, M2)'!$B$60:$B$61,'HT-Energia (M1, M2)'!$E$60:$E$61),IF(AB67= "Ei", " "))</f>
        <v>#N/A</v>
      </c>
      <c r="AF67" s="528" t="e">
        <f t="shared" si="13"/>
        <v>#N/A</v>
      </c>
      <c r="AG67" s="528" t="e">
        <f t="shared" si="11"/>
        <v>#N/A</v>
      </c>
    </row>
    <row r="68" spans="1:33" ht="15" customHeight="1">
      <c r="B68" s="667"/>
      <c r="C68" s="923"/>
      <c r="D68" s="924"/>
      <c r="E68" s="668"/>
      <c r="F68" s="576" t="s">
        <v>75</v>
      </c>
      <c r="G68" s="645" t="e">
        <f>IF(F68="Jah",LOOKUP(C68,'HT-Energia (M1, M2)'!$B$60:$B$61,'HT-Energia (M1, M2)'!$C$60:$C$61),IF(F68="Ei","x "))</f>
        <v>#N/A</v>
      </c>
      <c r="H68" s="696"/>
      <c r="I68" s="682" t="e">
        <f>IF(F68="Jah", LOOKUP(C68,'HT-Energia (M1, M2)'!$B$60:$B$61,'HT-Energia (M1, M2)'!$E$60:$E$61),IF(F68= "Ei", " "))</f>
        <v>#N/A</v>
      </c>
      <c r="J68" s="528" t="e">
        <f t="shared" si="6"/>
        <v>#N/A</v>
      </c>
      <c r="K68" s="528" t="e">
        <f t="shared" si="7"/>
        <v>#N/A</v>
      </c>
      <c r="M68" s="667"/>
      <c r="N68" s="923"/>
      <c r="O68" s="924"/>
      <c r="P68" s="668"/>
      <c r="Q68" s="576" t="s">
        <v>75</v>
      </c>
      <c r="R68" s="645" t="e">
        <f>IF(Q68="Jah",LOOKUP(N68,'HT-Energia (M1, M2)'!$B$60:$B$61,'HT-Energia (M1, M2)'!$C$60:$C$61),IF(Q68="Ei","x "))</f>
        <v>#N/A</v>
      </c>
      <c r="S68" s="696"/>
      <c r="T68" s="682" t="e">
        <f>IF(Q68="Jah", LOOKUP(N68,'HT-Energia (M1, M2)'!$B$60:$B$61,'HT-Energia (M1, M2)'!$E$60:$E$61),IF(Q68= "Ei", " "))</f>
        <v>#N/A</v>
      </c>
      <c r="U68" s="528" t="e">
        <f t="shared" si="12"/>
        <v>#N/A</v>
      </c>
      <c r="V68" s="528" t="e">
        <f t="shared" si="9"/>
        <v>#N/A</v>
      </c>
      <c r="X68" s="667"/>
      <c r="Y68" s="923"/>
      <c r="Z68" s="924"/>
      <c r="AA68" s="668"/>
      <c r="AB68" s="576" t="s">
        <v>75</v>
      </c>
      <c r="AC68" s="645" t="e">
        <f>IF(AB68="Jah",LOOKUP(Y68,'HT-Energia (M1, M2)'!$B$60:$B$61,'HT-Energia (M1, M2)'!$C$60:$C$61),IF(AB68="Ei","x "))</f>
        <v>#N/A</v>
      </c>
      <c r="AD68" s="696"/>
      <c r="AE68" s="682" t="e">
        <f>IF(AB68="Jah", LOOKUP(Y68,'HT-Energia (M1, M2)'!$B$60:$B$61,'HT-Energia (M1, M2)'!$E$60:$E$61),IF(AB68= "Ei", " "))</f>
        <v>#N/A</v>
      </c>
      <c r="AF68" s="528" t="e">
        <f t="shared" si="13"/>
        <v>#N/A</v>
      </c>
      <c r="AG68" s="528" t="e">
        <f t="shared" si="11"/>
        <v>#N/A</v>
      </c>
    </row>
    <row r="69" spans="1:33" ht="15" customHeight="1">
      <c r="B69" s="536"/>
      <c r="C69" s="537"/>
      <c r="D69" s="537"/>
      <c r="E69" s="537"/>
      <c r="F69" s="537"/>
      <c r="G69" s="537"/>
      <c r="H69" s="537"/>
      <c r="I69" s="592" t="s">
        <v>1592</v>
      </c>
      <c r="J69" s="594">
        <f>SUMIF(J59:J68,"&lt;&gt;#N/A")</f>
        <v>318.29000000000002</v>
      </c>
      <c r="K69" s="594">
        <f>SUMIF(K59:K68,"&lt;&gt;#N/A")</f>
        <v>0.31829000000000002</v>
      </c>
      <c r="M69" s="536"/>
      <c r="N69" s="537"/>
      <c r="O69" s="537"/>
      <c r="P69" s="537"/>
      <c r="Q69" s="537"/>
      <c r="R69" s="537"/>
      <c r="S69" s="537"/>
      <c r="T69" s="592" t="s">
        <v>1592</v>
      </c>
      <c r="U69" s="594">
        <f>SUMIF(U59:U68,"&lt;&gt;#N/A")</f>
        <v>509.26400000000001</v>
      </c>
      <c r="V69" s="594">
        <f>SUMIF(V59:V68,"&lt;&gt;#N/A")</f>
        <v>0.50926400000000005</v>
      </c>
      <c r="X69" s="536"/>
      <c r="Y69" s="537"/>
      <c r="Z69" s="537"/>
      <c r="AA69" s="537"/>
      <c r="AB69" s="537"/>
      <c r="AC69" s="537"/>
      <c r="AD69" s="537"/>
      <c r="AE69" s="592" t="s">
        <v>1592</v>
      </c>
      <c r="AF69" s="594">
        <f>SUMIF(AF59:AF68,"&lt;&gt;#N/A")</f>
        <v>445.60599999999999</v>
      </c>
      <c r="AG69" s="594">
        <f>SUMIF(AG59:AG68,"&lt;&gt;#N/A")</f>
        <v>0.44560600000000006</v>
      </c>
    </row>
    <row r="70" spans="1:33" ht="15" customHeight="1" thickBot="1">
      <c r="B70"/>
      <c r="C70"/>
      <c r="D70"/>
      <c r="E70"/>
      <c r="F70"/>
      <c r="G70"/>
      <c r="H70"/>
      <c r="I70"/>
      <c r="J70"/>
      <c r="K70"/>
      <c r="M70" s="784"/>
      <c r="N70" s="784"/>
      <c r="O70" s="784"/>
      <c r="P70" s="784"/>
      <c r="Q70" s="784"/>
      <c r="R70" s="784"/>
      <c r="S70" s="784"/>
      <c r="T70" s="784"/>
      <c r="U70" s="784"/>
      <c r="V70" s="784"/>
      <c r="X70" s="784"/>
      <c r="Y70" s="784"/>
      <c r="Z70" s="784"/>
      <c r="AA70" s="784"/>
      <c r="AB70" s="784"/>
      <c r="AC70" s="784"/>
      <c r="AD70" s="784"/>
      <c r="AE70" s="784"/>
      <c r="AF70" s="784"/>
      <c r="AG70" s="784"/>
    </row>
    <row r="71" spans="1:33" ht="15" customHeight="1" thickTop="1" thickBot="1">
      <c r="B71" s="934" t="s">
        <v>2152</v>
      </c>
      <c r="C71" s="932"/>
      <c r="D71" s="932"/>
      <c r="E71" s="932"/>
      <c r="F71" s="932"/>
      <c r="G71" s="932"/>
      <c r="H71" s="932"/>
      <c r="I71" s="933"/>
      <c r="J71" s="672">
        <f>SUMIF(J41:J50,"&lt;&gt;#N/A")+SUMIF(J59:J68,"&lt;&gt;#N/A")</f>
        <v>32147.29</v>
      </c>
      <c r="K71" s="672">
        <f>SUMIF(K41:K50,"&lt;&gt;#N/A")+SUMIF(K59:K68,"&lt;&gt;#N/A")</f>
        <v>32.147289999999998</v>
      </c>
      <c r="M71" s="934" t="s">
        <v>2152</v>
      </c>
      <c r="N71" s="932"/>
      <c r="O71" s="932"/>
      <c r="P71" s="932"/>
      <c r="Q71" s="932"/>
      <c r="R71" s="932"/>
      <c r="S71" s="932"/>
      <c r="T71" s="933"/>
      <c r="U71" s="672">
        <f>SUMIF(U41:U50,"&lt;&gt;#N/A")+SUMIF(U59:U68,"&lt;&gt;#N/A")</f>
        <v>25972.464</v>
      </c>
      <c r="V71" s="672">
        <f>SUMIF(V41:V50,"&lt;&gt;#N/A")+SUMIF(V59:V68,"&lt;&gt;#N/A")</f>
        <v>25.972464000000002</v>
      </c>
      <c r="X71" s="934" t="s">
        <v>2152</v>
      </c>
      <c r="Y71" s="932"/>
      <c r="Z71" s="932"/>
      <c r="AA71" s="932"/>
      <c r="AB71" s="932"/>
      <c r="AC71" s="932"/>
      <c r="AD71" s="932"/>
      <c r="AE71" s="933"/>
      <c r="AF71" s="672">
        <f>SUMIF(AF41:AF50,"&lt;&gt;#N/A")+SUMIF(AF59:AF68,"&lt;&gt;#N/A")</f>
        <v>6811.4059999999999</v>
      </c>
      <c r="AG71" s="672">
        <f>SUMIF(AG41:AG50,"&lt;&gt;#N/A")+SUMIF(AG59:AG68,"&lt;&gt;#N/A")</f>
        <v>6.8114059999999998</v>
      </c>
    </row>
    <row r="72" spans="1:33" ht="15" customHeight="1" thickTop="1"/>
    <row r="73" spans="1:33" ht="15" customHeight="1">
      <c r="A73" s="297"/>
      <c r="B73" s="536"/>
      <c r="C73" s="537"/>
      <c r="D73" s="537"/>
      <c r="E73" s="537"/>
      <c r="F73" s="537"/>
      <c r="G73" s="537"/>
      <c r="H73" s="537"/>
      <c r="I73" s="538" t="s">
        <v>1575</v>
      </c>
      <c r="J73" s="539">
        <f>SUMIF(B41:B50,1,J41:J50)+SUMIF(B59:B68,1,J59:J68)</f>
        <v>31829</v>
      </c>
      <c r="K73" s="540">
        <f>J73*0.001</f>
        <v>31.829000000000001</v>
      </c>
      <c r="M73" s="536"/>
      <c r="N73" s="537"/>
      <c r="O73" s="537"/>
      <c r="P73" s="537"/>
      <c r="Q73" s="537"/>
      <c r="R73" s="537"/>
      <c r="S73" s="537"/>
      <c r="T73" s="538" t="s">
        <v>1575</v>
      </c>
      <c r="U73" s="539">
        <f>SUMIF(M41:M50,1,U41:U50)+SUMIF(M59:M68,1,U59:U68)</f>
        <v>25972.464</v>
      </c>
      <c r="V73" s="540">
        <f>U73*0.001</f>
        <v>25.972464000000002</v>
      </c>
      <c r="W73"/>
      <c r="X73" s="536"/>
      <c r="Y73" s="537"/>
      <c r="Z73" s="537"/>
      <c r="AA73" s="537"/>
      <c r="AB73" s="537"/>
      <c r="AC73" s="537"/>
      <c r="AD73" s="537"/>
      <c r="AE73" s="538" t="s">
        <v>1575</v>
      </c>
      <c r="AF73" s="539">
        <f>SUMIF(X41:X50,1,AF41:AF50)+SUMIF(X59:X68,1,AF59:AF68)</f>
        <v>318.29000000000002</v>
      </c>
      <c r="AG73" s="540">
        <f>AF73*0.001</f>
        <v>0.31829000000000002</v>
      </c>
    </row>
    <row r="74" spans="1:33" ht="15" customHeight="1">
      <c r="B74" s="536"/>
      <c r="C74" s="537"/>
      <c r="D74" s="537"/>
      <c r="E74" s="537"/>
      <c r="F74" s="537"/>
      <c r="G74" s="537"/>
      <c r="H74" s="537"/>
      <c r="I74" s="538" t="s">
        <v>1576</v>
      </c>
      <c r="J74" s="539">
        <f>SUMIF(B41:B50,2,J41:J50)+SUMIF(B59:B68,2,J59:J68)</f>
        <v>318.29000000000002</v>
      </c>
      <c r="K74" s="540">
        <f t="shared" ref="K74:K75" si="14">J74*0.001</f>
        <v>0.31829000000000002</v>
      </c>
      <c r="M74" s="536"/>
      <c r="N74" s="537"/>
      <c r="O74" s="537"/>
      <c r="P74" s="537"/>
      <c r="Q74" s="537"/>
      <c r="R74" s="537"/>
      <c r="S74" s="537"/>
      <c r="T74" s="538" t="s">
        <v>1576</v>
      </c>
      <c r="U74" s="539">
        <f>SUMIF(M41:M50,2,U41:U50)+SUMIF(M59:M68,2,U59:U68)</f>
        <v>0</v>
      </c>
      <c r="V74" s="540">
        <f t="shared" ref="V74:V75" si="15">U74*0.001</f>
        <v>0</v>
      </c>
      <c r="W74"/>
      <c r="X74" s="536"/>
      <c r="Y74" s="537"/>
      <c r="Z74" s="537"/>
      <c r="AA74" s="537"/>
      <c r="AB74" s="537"/>
      <c r="AC74" s="537"/>
      <c r="AD74" s="537"/>
      <c r="AE74" s="538" t="s">
        <v>1576</v>
      </c>
      <c r="AF74" s="539">
        <f>SUMIF(X41:X50,2,AF41:AF50)+SUMIF(X59:X68,2,AF59:AF68)</f>
        <v>127.316</v>
      </c>
      <c r="AG74" s="540">
        <f t="shared" ref="AG74:AG75" si="16">AF74*0.001</f>
        <v>0.12731600000000001</v>
      </c>
    </row>
    <row r="75" spans="1:33" ht="15" customHeight="1">
      <c r="B75" s="536"/>
      <c r="C75" s="537"/>
      <c r="D75" s="537"/>
      <c r="E75" s="537"/>
      <c r="F75" s="537"/>
      <c r="G75" s="537"/>
      <c r="H75" s="537"/>
      <c r="I75" s="538" t="s">
        <v>1577</v>
      </c>
      <c r="J75" s="539">
        <f>SUMIF(B41:B50,3,J41:J50)+SUMIF(B59:B68,3,J59:J68)</f>
        <v>0</v>
      </c>
      <c r="K75" s="540">
        <f t="shared" si="14"/>
        <v>0</v>
      </c>
      <c r="M75" s="536"/>
      <c r="N75" s="537"/>
      <c r="O75" s="537"/>
      <c r="P75" s="537"/>
      <c r="Q75" s="537"/>
      <c r="R75" s="537"/>
      <c r="S75" s="537"/>
      <c r="T75" s="538" t="s">
        <v>1577</v>
      </c>
      <c r="U75" s="539">
        <f>SUMIF(M41:M50,3,U41:U50)+SUMIF(M59:M68,3,U59:U68)</f>
        <v>0</v>
      </c>
      <c r="V75" s="540">
        <f t="shared" si="15"/>
        <v>0</v>
      </c>
      <c r="W75"/>
      <c r="X75" s="536"/>
      <c r="Y75" s="537"/>
      <c r="Z75" s="537"/>
      <c r="AA75" s="537"/>
      <c r="AB75" s="537"/>
      <c r="AC75" s="537"/>
      <c r="AD75" s="537"/>
      <c r="AE75" s="538" t="s">
        <v>1577</v>
      </c>
      <c r="AF75" s="539">
        <f>SUMIF(X41:X50,3,AF41:AF50)+SUMIF(X59:X68,3,AF59:AF68)</f>
        <v>6365.8</v>
      </c>
      <c r="AG75" s="540">
        <f t="shared" si="16"/>
        <v>6.3658000000000001</v>
      </c>
    </row>
  </sheetData>
  <mergeCells count="117">
    <mergeCell ref="Y65:Z65"/>
    <mergeCell ref="Y66:Z66"/>
    <mergeCell ref="Y67:Z67"/>
    <mergeCell ref="Y68:Z68"/>
    <mergeCell ref="X71:AE71"/>
    <mergeCell ref="Y60:Z60"/>
    <mergeCell ref="Y61:Z61"/>
    <mergeCell ref="Y62:Z62"/>
    <mergeCell ref="Y63:Z63"/>
    <mergeCell ref="Y64:Z64"/>
    <mergeCell ref="AD55:AD57"/>
    <mergeCell ref="AE55:AE58"/>
    <mergeCell ref="AF55:AG57"/>
    <mergeCell ref="AC58:AD58"/>
    <mergeCell ref="Y59:Z59"/>
    <mergeCell ref="X55:X58"/>
    <mergeCell ref="Y55:Z58"/>
    <mergeCell ref="AA55:AA58"/>
    <mergeCell ref="AB55:AB57"/>
    <mergeCell ref="AC55:AC57"/>
    <mergeCell ref="T55:T58"/>
    <mergeCell ref="U55:V57"/>
    <mergeCell ref="R58:S58"/>
    <mergeCell ref="B71:I71"/>
    <mergeCell ref="M55:M58"/>
    <mergeCell ref="N55:O58"/>
    <mergeCell ref="P55:P58"/>
    <mergeCell ref="N59:O59"/>
    <mergeCell ref="N60:O60"/>
    <mergeCell ref="N61:O61"/>
    <mergeCell ref="N62:O62"/>
    <mergeCell ref="N63:O63"/>
    <mergeCell ref="N64:O64"/>
    <mergeCell ref="N65:O65"/>
    <mergeCell ref="N66:O66"/>
    <mergeCell ref="N67:O67"/>
    <mergeCell ref="N68:O68"/>
    <mergeCell ref="M71:T71"/>
    <mergeCell ref="C66:D66"/>
    <mergeCell ref="C67:D67"/>
    <mergeCell ref="C68:D68"/>
    <mergeCell ref="C61:D61"/>
    <mergeCell ref="C62:D62"/>
    <mergeCell ref="C63:D63"/>
    <mergeCell ref="C64:D64"/>
    <mergeCell ref="C65:D65"/>
    <mergeCell ref="I55:I58"/>
    <mergeCell ref="Q55:Q57"/>
    <mergeCell ref="R55:R57"/>
    <mergeCell ref="S55:S57"/>
    <mergeCell ref="J55:K57"/>
    <mergeCell ref="C59:D59"/>
    <mergeCell ref="C60:D60"/>
    <mergeCell ref="G58:H58"/>
    <mergeCell ref="H55:H57"/>
    <mergeCell ref="G55:G57"/>
    <mergeCell ref="B55:B58"/>
    <mergeCell ref="C55:D58"/>
    <mergeCell ref="E55:E58"/>
    <mergeCell ref="F55:F57"/>
    <mergeCell ref="C46:D46"/>
    <mergeCell ref="C47:D47"/>
    <mergeCell ref="C48:D48"/>
    <mergeCell ref="C49:D49"/>
    <mergeCell ref="C50:D50"/>
    <mergeCell ref="C41:D41"/>
    <mergeCell ref="C42:D42"/>
    <mergeCell ref="C43:D43"/>
    <mergeCell ref="C44:D44"/>
    <mergeCell ref="C45:D45"/>
    <mergeCell ref="G40:H40"/>
    <mergeCell ref="B37:B40"/>
    <mergeCell ref="H37:H39"/>
    <mergeCell ref="I37:I40"/>
    <mergeCell ref="J37:K39"/>
    <mergeCell ref="F37:F39"/>
    <mergeCell ref="E37:E40"/>
    <mergeCell ref="G37:G39"/>
    <mergeCell ref="C37:D40"/>
    <mergeCell ref="M37:M40"/>
    <mergeCell ref="N37:O40"/>
    <mergeCell ref="P37:P40"/>
    <mergeCell ref="Q37:Q39"/>
    <mergeCell ref="R37:R39"/>
    <mergeCell ref="N47:O47"/>
    <mergeCell ref="N48:O48"/>
    <mergeCell ref="N49:O49"/>
    <mergeCell ref="N50:O50"/>
    <mergeCell ref="X37:X40"/>
    <mergeCell ref="N42:O42"/>
    <mergeCell ref="N43:O43"/>
    <mergeCell ref="N44:O44"/>
    <mergeCell ref="N45:O45"/>
    <mergeCell ref="N46:O46"/>
    <mergeCell ref="S37:S39"/>
    <mergeCell ref="T37:T40"/>
    <mergeCell ref="U37:V39"/>
    <mergeCell ref="R40:S40"/>
    <mergeCell ref="N41:O41"/>
    <mergeCell ref="AF37:AG39"/>
    <mergeCell ref="AC40:AD40"/>
    <mergeCell ref="Y41:Z41"/>
    <mergeCell ref="Y42:Z42"/>
    <mergeCell ref="Y37:Z40"/>
    <mergeCell ref="AA37:AA40"/>
    <mergeCell ref="AB37:AB39"/>
    <mergeCell ref="AC37:AC39"/>
    <mergeCell ref="AD37:AD39"/>
    <mergeCell ref="Y48:Z48"/>
    <mergeCell ref="Y49:Z49"/>
    <mergeCell ref="Y50:Z50"/>
    <mergeCell ref="Y43:Z43"/>
    <mergeCell ref="Y44:Z44"/>
    <mergeCell ref="Y45:Z45"/>
    <mergeCell ref="Y46:Z46"/>
    <mergeCell ref="Y47:Z47"/>
    <mergeCell ref="AE37:AE40"/>
  </mergeCells>
  <phoneticPr fontId="35" type="noConversion"/>
  <conditionalFormatting sqref="I41:I50">
    <cfRule type="expression" dxfId="95" priority="8">
      <formula>$F41="Ei"</formula>
    </cfRule>
  </conditionalFormatting>
  <conditionalFormatting sqref="T41:T50">
    <cfRule type="expression" dxfId="94" priority="7">
      <formula>$Q41="Ei"</formula>
    </cfRule>
  </conditionalFormatting>
  <conditionalFormatting sqref="AE41:AE50">
    <cfRule type="expression" dxfId="93" priority="6">
      <formula>$AB41="Ei"</formula>
    </cfRule>
  </conditionalFormatting>
  <conditionalFormatting sqref="I59:I68">
    <cfRule type="expression" dxfId="92" priority="5">
      <formula>$F59="Ei"</formula>
    </cfRule>
  </conditionalFormatting>
  <conditionalFormatting sqref="T59:T68">
    <cfRule type="expression" dxfId="91" priority="2">
      <formula>$F59="Ei"</formula>
    </cfRule>
  </conditionalFormatting>
  <conditionalFormatting sqref="AE59:AE68">
    <cfRule type="expression" dxfId="90" priority="1">
      <formula>$F59="Ei"</formula>
    </cfRule>
  </conditionalFormatting>
  <hyperlinks>
    <hyperlink ref="A2" location="Sisukord!A1" display="Sisukord"/>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'HT-Energia (M1, M2)'!$B$56:$B$58</xm:f>
          </x14:formula1>
          <xm:sqref>C41:C50 Y41:Y50 N41:N50</xm:sqref>
        </x14:dataValidation>
        <x14:dataValidation type="list" allowBlank="1" showInputMessage="1" showErrorMessage="1">
          <x14:formula1>
            <xm:f>Viited!$B$65:$B$66</xm:f>
          </x14:formula1>
          <xm:sqref>F41:F50 AC69:AD70 AB59:AB68 R69:S70 Q59:Q68 G69:H70 F59:F68 Q41:Q50 AB41:AB50</xm:sqref>
        </x14:dataValidation>
        <x14:dataValidation type="list" allowBlank="1" showInputMessage="1" showErrorMessage="1">
          <x14:formula1>
            <xm:f>'HT-Energia (M1, M2)'!$B$60:$B$61</xm:f>
          </x14:formula1>
          <xm:sqref>D60:D68 C59:C68 O60:O68 N59:N68 Z60:Z68 Y59:Y68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G53"/>
  <sheetViews>
    <sheetView showGridLines="0" tabSelected="1" zoomScale="90" zoomScaleNormal="90" workbookViewId="0">
      <pane xSplit="1" ySplit="1" topLeftCell="B35" activePane="bottomRight" state="frozen"/>
      <selection activeCell="B5" sqref="B5"/>
      <selection pane="topRight" activeCell="B5" sqref="B5"/>
      <selection pane="bottomLeft" activeCell="B5" sqref="B5"/>
      <selection pane="bottomRight" activeCell="B18" sqref="B18"/>
    </sheetView>
  </sheetViews>
  <sheetFormatPr defaultColWidth="8.54296875" defaultRowHeight="15" customHeight="1"/>
  <cols>
    <col min="1" max="1" width="7.1796875" style="302" customWidth="1"/>
    <col min="2" max="2" width="9.7265625" style="297" customWidth="1"/>
    <col min="3" max="3" width="9.54296875" style="297" customWidth="1"/>
    <col min="4" max="4" width="29.81640625" style="297" customWidth="1"/>
    <col min="5" max="6" width="16.7265625" style="297" customWidth="1"/>
    <col min="7" max="8" width="15.54296875" style="297" customWidth="1"/>
    <col min="9" max="9" width="50.54296875" style="297" customWidth="1"/>
    <col min="10" max="11" width="14" style="297" customWidth="1"/>
    <col min="12" max="12" width="8.54296875" style="297" customWidth="1"/>
    <col min="13" max="13" width="9.7265625" style="297" customWidth="1"/>
    <col min="14" max="14" width="9.54296875" style="297" customWidth="1"/>
    <col min="15" max="15" width="29.81640625" style="297" customWidth="1"/>
    <col min="16" max="17" width="16.7265625" style="297" customWidth="1"/>
    <col min="18" max="19" width="15.54296875" style="297" customWidth="1"/>
    <col min="20" max="20" width="50.54296875" style="297" customWidth="1"/>
    <col min="21" max="22" width="14" style="297" customWidth="1"/>
    <col min="23" max="23" width="8.54296875" style="297"/>
    <col min="24" max="24" width="9.7265625" style="297" customWidth="1"/>
    <col min="25" max="25" width="9.54296875" style="297" customWidth="1"/>
    <col min="26" max="26" width="29.81640625" style="297" customWidth="1"/>
    <col min="27" max="28" width="16.7265625" style="297" customWidth="1"/>
    <col min="29" max="30" width="15.54296875" style="297" customWidth="1"/>
    <col min="31" max="31" width="50.54296875" style="297" customWidth="1"/>
    <col min="32" max="33" width="14" style="297" customWidth="1"/>
    <col min="34" max="16384" width="8.54296875" style="297"/>
  </cols>
  <sheetData>
    <row r="1" spans="1:16" s="396" customFormat="1" ht="21" customHeight="1">
      <c r="A1" s="293"/>
      <c r="B1" s="291" t="s">
        <v>1591</v>
      </c>
      <c r="C1" s="319"/>
    </row>
    <row r="2" spans="1:16" ht="15" customHeight="1">
      <c r="A2" s="295" t="s">
        <v>1</v>
      </c>
      <c r="B2" s="516" t="s">
        <v>1752</v>
      </c>
      <c r="C2" s="517"/>
      <c r="D2" s="517"/>
      <c r="E2" s="517"/>
      <c r="F2" s="517"/>
      <c r="G2" s="517"/>
      <c r="H2" s="517"/>
      <c r="I2" s="517"/>
      <c r="J2" s="517"/>
      <c r="K2" s="518"/>
    </row>
    <row r="3" spans="1:16" s="501" customFormat="1" ht="15" customHeight="1">
      <c r="A3" s="297"/>
      <c r="B3" s="519" t="s">
        <v>1693</v>
      </c>
      <c r="C3" s="297"/>
      <c r="D3" s="297"/>
      <c r="E3" s="297"/>
      <c r="F3" s="297"/>
      <c r="G3" s="297"/>
      <c r="H3" s="297"/>
      <c r="I3" s="307"/>
      <c r="J3" s="307"/>
      <c r="K3" s="601"/>
      <c r="L3" s="307"/>
      <c r="M3" s="307"/>
      <c r="N3" s="307"/>
      <c r="O3" s="307"/>
      <c r="P3" s="307"/>
    </row>
    <row r="4" spans="1:16" s="501" customFormat="1" ht="15" customHeight="1">
      <c r="A4" s="297"/>
      <c r="B4" s="519" t="s">
        <v>2093</v>
      </c>
      <c r="C4" s="297"/>
      <c r="D4" s="297"/>
      <c r="E4" s="297"/>
      <c r="F4" s="297"/>
      <c r="G4" s="297"/>
      <c r="H4" s="297"/>
      <c r="I4" s="307"/>
      <c r="J4" s="307"/>
      <c r="K4" s="601"/>
      <c r="L4" s="307"/>
      <c r="M4" s="307"/>
      <c r="N4" s="307"/>
      <c r="O4" s="307"/>
      <c r="P4" s="307"/>
    </row>
    <row r="5" spans="1:16" s="501" customFormat="1" ht="15" customHeight="1">
      <c r="A5" s="297"/>
      <c r="B5" s="519" t="s">
        <v>2294</v>
      </c>
      <c r="C5" s="297"/>
      <c r="D5" s="297"/>
      <c r="E5" s="297"/>
      <c r="F5" s="297"/>
      <c r="G5" s="297"/>
      <c r="H5" s="297"/>
      <c r="I5" s="307"/>
      <c r="J5" s="307"/>
      <c r="K5" s="601"/>
      <c r="L5" s="307"/>
      <c r="M5" s="307"/>
      <c r="N5" s="307"/>
      <c r="O5" s="307"/>
      <c r="P5" s="307"/>
    </row>
    <row r="6" spans="1:16" s="501" customFormat="1" ht="15" customHeight="1">
      <c r="A6" s="297"/>
      <c r="B6" s="519"/>
      <c r="C6" s="297"/>
      <c r="D6" s="563"/>
      <c r="E6" s="563"/>
      <c r="F6" s="563"/>
      <c r="G6" s="563"/>
      <c r="H6" s="563"/>
      <c r="I6" s="307"/>
      <c r="J6" s="307"/>
      <c r="K6" s="601"/>
      <c r="L6" s="307"/>
      <c r="M6" s="307"/>
      <c r="N6" s="307"/>
      <c r="O6" s="307"/>
      <c r="P6" s="307"/>
    </row>
    <row r="7" spans="1:16" s="501" customFormat="1" ht="15" customHeight="1">
      <c r="A7" s="297"/>
      <c r="B7" s="554" t="s">
        <v>66</v>
      </c>
      <c r="C7" s="296"/>
      <c r="D7" s="563"/>
      <c r="E7" s="563"/>
      <c r="F7" s="563"/>
      <c r="G7" s="563"/>
      <c r="H7" s="563"/>
      <c r="I7" s="307"/>
      <c r="J7" s="307"/>
      <c r="K7" s="601"/>
      <c r="L7" s="307"/>
      <c r="M7" s="307"/>
      <c r="N7" s="307"/>
      <c r="O7" s="307"/>
      <c r="P7" s="307"/>
    </row>
    <row r="8" spans="1:16" s="501" customFormat="1" ht="15" customHeight="1">
      <c r="A8" s="302"/>
      <c r="B8" s="519" t="s">
        <v>1559</v>
      </c>
      <c r="C8" s="297"/>
      <c r="K8" s="603"/>
    </row>
    <row r="9" spans="1:16" s="501" customFormat="1" ht="15" customHeight="1">
      <c r="A9" s="302"/>
      <c r="B9" s="519" t="s">
        <v>2111</v>
      </c>
      <c r="C9" s="297"/>
      <c r="K9" s="603"/>
    </row>
    <row r="10" spans="1:16" s="501" customFormat="1" ht="15" customHeight="1">
      <c r="A10" s="302"/>
      <c r="B10" s="519" t="s">
        <v>2156</v>
      </c>
      <c r="C10" s="297"/>
      <c r="K10" s="603"/>
    </row>
    <row r="11" spans="1:16" s="501" customFormat="1" ht="15" customHeight="1">
      <c r="A11" s="302"/>
      <c r="B11" s="519" t="s">
        <v>2157</v>
      </c>
      <c r="C11" s="297"/>
      <c r="K11" s="603"/>
    </row>
    <row r="12" spans="1:16" s="501" customFormat="1" ht="15" customHeight="1">
      <c r="A12" s="302"/>
      <c r="B12" s="519" t="s">
        <v>2159</v>
      </c>
      <c r="C12" s="297"/>
      <c r="K12" s="603"/>
    </row>
    <row r="13" spans="1:16" s="501" customFormat="1" ht="15" customHeight="1">
      <c r="A13" s="302"/>
      <c r="B13" s="519" t="s">
        <v>2165</v>
      </c>
      <c r="C13" s="297"/>
      <c r="K13" s="603"/>
    </row>
    <row r="14" spans="1:16" s="501" customFormat="1" ht="15" customHeight="1">
      <c r="A14" s="302"/>
      <c r="B14" s="519" t="s">
        <v>2295</v>
      </c>
      <c r="C14" s="297"/>
      <c r="K14" s="603"/>
    </row>
    <row r="15" spans="1:16" s="501" customFormat="1" ht="15" customHeight="1">
      <c r="A15" s="302"/>
      <c r="B15" s="673" t="s">
        <v>2350</v>
      </c>
      <c r="C15" s="297"/>
      <c r="K15" s="603"/>
    </row>
    <row r="16" spans="1:16" s="501" customFormat="1" ht="15" customHeight="1">
      <c r="A16" s="302"/>
      <c r="B16" s="519" t="s">
        <v>2161</v>
      </c>
      <c r="C16" s="297"/>
      <c r="K16" s="603"/>
    </row>
    <row r="17" spans="1:25" s="501" customFormat="1" ht="15" customHeight="1">
      <c r="A17" s="302"/>
      <c r="B17" s="519" t="s">
        <v>2162</v>
      </c>
      <c r="C17" s="297"/>
      <c r="K17" s="603"/>
    </row>
    <row r="18" spans="1:25" s="501" customFormat="1" ht="15" customHeight="1">
      <c r="A18" s="302"/>
      <c r="B18" s="519" t="s">
        <v>2160</v>
      </c>
      <c r="C18" s="297"/>
      <c r="K18" s="603"/>
    </row>
    <row r="19" spans="1:25" s="501" customFormat="1" ht="15" customHeight="1">
      <c r="A19" s="302"/>
      <c r="B19" s="519" t="s">
        <v>2163</v>
      </c>
      <c r="C19" s="297"/>
      <c r="K19" s="603"/>
    </row>
    <row r="20" spans="1:25" s="501" customFormat="1" ht="15" customHeight="1">
      <c r="A20" s="302"/>
      <c r="B20" s="519" t="s">
        <v>2164</v>
      </c>
      <c r="C20" s="297"/>
      <c r="K20" s="603"/>
    </row>
    <row r="21" spans="1:25" s="501" customFormat="1" ht="15" customHeight="1">
      <c r="A21" s="302"/>
      <c r="B21" s="519" t="s">
        <v>2158</v>
      </c>
      <c r="C21" s="297"/>
      <c r="K21" s="603"/>
    </row>
    <row r="22" spans="1:25" s="501" customFormat="1" ht="15" customHeight="1">
      <c r="A22" s="302"/>
      <c r="B22" s="519"/>
      <c r="C22" s="297"/>
      <c r="K22" s="603"/>
    </row>
    <row r="23" spans="1:25" s="501" customFormat="1" ht="15" customHeight="1">
      <c r="A23" s="302"/>
      <c r="B23" s="519" t="s">
        <v>1753</v>
      </c>
      <c r="C23" s="297"/>
      <c r="D23" s="659"/>
      <c r="K23" s="603"/>
    </row>
    <row r="24" spans="1:25" s="501" customFormat="1" ht="15" customHeight="1">
      <c r="A24" s="302"/>
      <c r="B24" s="519" t="s">
        <v>2112</v>
      </c>
      <c r="C24" s="297"/>
      <c r="D24" s="659"/>
      <c r="K24" s="603"/>
    </row>
    <row r="25" spans="1:25" s="501" customFormat="1" ht="15" customHeight="1">
      <c r="A25" s="302"/>
      <c r="B25" s="519" t="s">
        <v>1749</v>
      </c>
      <c r="C25" s="297"/>
      <c r="D25" s="659"/>
      <c r="K25" s="603"/>
    </row>
    <row r="26" spans="1:25" s="501" customFormat="1" ht="15" customHeight="1">
      <c r="A26" s="302"/>
      <c r="B26" s="519"/>
      <c r="C26" s="297"/>
      <c r="D26" s="659"/>
      <c r="K26" s="603"/>
    </row>
    <row r="27" spans="1:25" s="501" customFormat="1" ht="15" customHeight="1">
      <c r="A27" s="302"/>
      <c r="B27" s="519" t="s">
        <v>2113</v>
      </c>
      <c r="C27" s="297"/>
      <c r="D27" s="659"/>
      <c r="K27" s="603"/>
    </row>
    <row r="28" spans="1:25" s="501" customFormat="1" ht="15" customHeight="1">
      <c r="A28" s="302"/>
      <c r="B28" s="519" t="s">
        <v>1754</v>
      </c>
      <c r="C28" s="297"/>
      <c r="D28" s="659"/>
      <c r="K28" s="603"/>
    </row>
    <row r="29" spans="1:25" s="501" customFormat="1" ht="15" customHeight="1">
      <c r="A29" s="302"/>
      <c r="B29" s="519"/>
      <c r="C29" s="297"/>
      <c r="D29" s="659"/>
      <c r="K29" s="603"/>
    </row>
    <row r="30" spans="1:25" s="501" customFormat="1" ht="15" customHeight="1">
      <c r="A30" s="302"/>
      <c r="B30" s="523" t="s">
        <v>1746</v>
      </c>
      <c r="C30" s="584"/>
      <c r="D30" s="660"/>
      <c r="E30" s="564"/>
      <c r="F30" s="564"/>
      <c r="G30" s="564"/>
      <c r="H30" s="564"/>
      <c r="I30" s="564"/>
      <c r="J30" s="564"/>
      <c r="K30" s="606"/>
    </row>
    <row r="31" spans="1:25" s="501" customFormat="1" ht="15" customHeight="1" thickBot="1">
      <c r="A31" s="302"/>
      <c r="B31" s="297"/>
      <c r="C31" s="297"/>
      <c r="D31" s="659"/>
    </row>
    <row r="32" spans="1:25" s="501" customFormat="1" ht="15" customHeight="1" thickTop="1" thickBot="1">
      <c r="A32" s="302"/>
      <c r="B32" s="502" t="s">
        <v>55</v>
      </c>
      <c r="C32" s="526">
        <f>Organisatsioon!B23</f>
        <v>2021</v>
      </c>
      <c r="M32" s="502" t="s">
        <v>55</v>
      </c>
      <c r="N32" s="526">
        <f>Organisatsioon!B24</f>
        <v>2022</v>
      </c>
      <c r="X32" s="502" t="s">
        <v>55</v>
      </c>
      <c r="Y32" s="526">
        <f>Organisatsioon!B25</f>
        <v>2023</v>
      </c>
    </row>
    <row r="33" spans="1:33" s="501" customFormat="1" ht="15" customHeight="1" thickTop="1">
      <c r="A33" s="302"/>
      <c r="K33" s="491"/>
    </row>
    <row r="34" spans="1:33" ht="15" customHeight="1">
      <c r="B34" s="503" t="s">
        <v>1589</v>
      </c>
      <c r="C34" s="503"/>
      <c r="D34" s="661"/>
      <c r="E34" s="661"/>
      <c r="F34" s="662"/>
      <c r="G34" s="662"/>
      <c r="H34" s="662"/>
      <c r="I34" s="662"/>
      <c r="J34" s="662"/>
      <c r="K34" s="663"/>
      <c r="M34" s="503" t="s">
        <v>1589</v>
      </c>
      <c r="N34" s="503"/>
      <c r="O34" s="661"/>
      <c r="P34" s="661"/>
      <c r="Q34" s="662"/>
      <c r="R34" s="662"/>
      <c r="S34" s="662"/>
      <c r="T34" s="662"/>
      <c r="U34" s="662"/>
      <c r="V34" s="663"/>
      <c r="X34" s="503" t="s">
        <v>1589</v>
      </c>
      <c r="Y34" s="503"/>
      <c r="Z34" s="661"/>
      <c r="AA34" s="661"/>
      <c r="AB34" s="662"/>
      <c r="AC34" s="662"/>
      <c r="AD34" s="662"/>
      <c r="AE34" s="662"/>
      <c r="AF34" s="662"/>
      <c r="AG34" s="663"/>
    </row>
    <row r="35" spans="1:33" ht="15" customHeight="1">
      <c r="B35" s="925" t="s">
        <v>57</v>
      </c>
      <c r="C35" s="916" t="s">
        <v>103</v>
      </c>
      <c r="D35" s="917"/>
      <c r="E35" s="925" t="s">
        <v>101</v>
      </c>
      <c r="F35" s="914" t="s">
        <v>85</v>
      </c>
      <c r="G35" s="914" t="s">
        <v>69</v>
      </c>
      <c r="H35" s="914" t="s">
        <v>70</v>
      </c>
      <c r="I35" s="914" t="s">
        <v>71</v>
      </c>
      <c r="J35" s="908" t="s">
        <v>72</v>
      </c>
      <c r="K35" s="909"/>
      <c r="M35" s="925" t="s">
        <v>57</v>
      </c>
      <c r="N35" s="916" t="s">
        <v>103</v>
      </c>
      <c r="O35" s="917"/>
      <c r="P35" s="925" t="s">
        <v>101</v>
      </c>
      <c r="Q35" s="914" t="s">
        <v>85</v>
      </c>
      <c r="R35" s="914" t="s">
        <v>69</v>
      </c>
      <c r="S35" s="914" t="s">
        <v>70</v>
      </c>
      <c r="T35" s="914" t="s">
        <v>71</v>
      </c>
      <c r="U35" s="908" t="s">
        <v>72</v>
      </c>
      <c r="V35" s="909"/>
      <c r="X35" s="925" t="s">
        <v>57</v>
      </c>
      <c r="Y35" s="916" t="s">
        <v>103</v>
      </c>
      <c r="Z35" s="917"/>
      <c r="AA35" s="925" t="s">
        <v>101</v>
      </c>
      <c r="AB35" s="914" t="s">
        <v>85</v>
      </c>
      <c r="AC35" s="914" t="s">
        <v>69</v>
      </c>
      <c r="AD35" s="914" t="s">
        <v>70</v>
      </c>
      <c r="AE35" s="914" t="s">
        <v>71</v>
      </c>
      <c r="AF35" s="908" t="s">
        <v>72</v>
      </c>
      <c r="AG35" s="909"/>
    </row>
    <row r="36" spans="1:33" ht="15" customHeight="1">
      <c r="B36" s="926"/>
      <c r="C36" s="918"/>
      <c r="D36" s="919"/>
      <c r="E36" s="926"/>
      <c r="F36" s="915"/>
      <c r="G36" s="915"/>
      <c r="H36" s="915"/>
      <c r="I36" s="915"/>
      <c r="J36" s="928"/>
      <c r="K36" s="929"/>
      <c r="M36" s="926"/>
      <c r="N36" s="918"/>
      <c r="O36" s="919"/>
      <c r="P36" s="926"/>
      <c r="Q36" s="915"/>
      <c r="R36" s="915"/>
      <c r="S36" s="915"/>
      <c r="T36" s="915"/>
      <c r="U36" s="928"/>
      <c r="V36" s="929"/>
      <c r="X36" s="926"/>
      <c r="Y36" s="918"/>
      <c r="Z36" s="919"/>
      <c r="AA36" s="926"/>
      <c r="AB36" s="915"/>
      <c r="AC36" s="915"/>
      <c r="AD36" s="915"/>
      <c r="AE36" s="915"/>
      <c r="AF36" s="928"/>
      <c r="AG36" s="929"/>
    </row>
    <row r="37" spans="1:33" ht="15" customHeight="1">
      <c r="B37" s="926"/>
      <c r="C37" s="918"/>
      <c r="D37" s="919"/>
      <c r="E37" s="926"/>
      <c r="F37" s="922"/>
      <c r="G37" s="922"/>
      <c r="H37" s="922"/>
      <c r="I37" s="915"/>
      <c r="J37" s="910"/>
      <c r="K37" s="911"/>
      <c r="M37" s="926"/>
      <c r="N37" s="918"/>
      <c r="O37" s="919"/>
      <c r="P37" s="926"/>
      <c r="Q37" s="922"/>
      <c r="R37" s="922"/>
      <c r="S37" s="922"/>
      <c r="T37" s="915"/>
      <c r="U37" s="910"/>
      <c r="V37" s="911"/>
      <c r="X37" s="926"/>
      <c r="Y37" s="918"/>
      <c r="Z37" s="919"/>
      <c r="AA37" s="926"/>
      <c r="AB37" s="922"/>
      <c r="AC37" s="922"/>
      <c r="AD37" s="922"/>
      <c r="AE37" s="915"/>
      <c r="AF37" s="910"/>
      <c r="AG37" s="911"/>
    </row>
    <row r="38" spans="1:33" ht="15" customHeight="1">
      <c r="B38" s="927"/>
      <c r="C38" s="920"/>
      <c r="D38" s="921"/>
      <c r="E38" s="927"/>
      <c r="F38" s="571" t="s">
        <v>73</v>
      </c>
      <c r="G38" s="920" t="s">
        <v>2114</v>
      </c>
      <c r="H38" s="921"/>
      <c r="I38" s="922"/>
      <c r="J38" s="545" t="s">
        <v>2085</v>
      </c>
      <c r="K38" s="545" t="s">
        <v>2086</v>
      </c>
      <c r="M38" s="927"/>
      <c r="N38" s="920"/>
      <c r="O38" s="921"/>
      <c r="P38" s="927"/>
      <c r="Q38" s="571" t="s">
        <v>73</v>
      </c>
      <c r="R38" s="920" t="s">
        <v>2114</v>
      </c>
      <c r="S38" s="921"/>
      <c r="T38" s="922"/>
      <c r="U38" s="545" t="s">
        <v>2085</v>
      </c>
      <c r="V38" s="545" t="s">
        <v>2086</v>
      </c>
      <c r="X38" s="927"/>
      <c r="Y38" s="920"/>
      <c r="Z38" s="921"/>
      <c r="AA38" s="927"/>
      <c r="AB38" s="571" t="s">
        <v>73</v>
      </c>
      <c r="AC38" s="920" t="s">
        <v>2114</v>
      </c>
      <c r="AD38" s="921"/>
      <c r="AE38" s="922"/>
      <c r="AF38" s="545" t="s">
        <v>2085</v>
      </c>
      <c r="AG38" s="545" t="s">
        <v>2086</v>
      </c>
    </row>
    <row r="39" spans="1:33" ht="15" customHeight="1">
      <c r="B39" s="618">
        <v>1</v>
      </c>
      <c r="C39" s="923" t="s">
        <v>177</v>
      </c>
      <c r="D39" s="924"/>
      <c r="E39" s="664">
        <v>50000</v>
      </c>
      <c r="F39" s="572" t="s">
        <v>75</v>
      </c>
      <c r="G39" s="621">
        <f>IF(F39="Jah",LOOKUP(C39,'HT-Energia (M1, M2)'!$B$66:$B$78,'HT-Energia (M1, M2)'!$C$66:$C$78),IF(F39="Ei","x "))</f>
        <v>0.46019344356445069</v>
      </c>
      <c r="H39" s="665"/>
      <c r="I39" s="666" t="str">
        <f>IF(F39="Jah", LOOKUP(C39,'HT-Energia (M1, M2)'!$B$66:$B$78,'HT-Energia (M1, M2)'!$E$66:$E$78),IF(F39= "Ei", " "))</f>
        <v>KHG inventuuri aruanne 2022, arvestuslik katla kasutegur 80%</v>
      </c>
      <c r="J39" s="528">
        <f>IF(F39="Jah",E39*G39, IF(F39="Ei",H39*E39))</f>
        <v>23009.672178222536</v>
      </c>
      <c r="K39" s="528">
        <f>J39*0.001</f>
        <v>23.009672178222537</v>
      </c>
      <c r="M39" s="618">
        <v>1</v>
      </c>
      <c r="N39" s="923" t="s">
        <v>1829</v>
      </c>
      <c r="O39" s="924"/>
      <c r="P39" s="664">
        <v>50000</v>
      </c>
      <c r="Q39" s="572" t="s">
        <v>75</v>
      </c>
      <c r="R39" s="621">
        <f>IF(Q39="Jah",LOOKUP(N39,'HT-Energia (M1, M2)'!$B$66:$B$78,'HT-Energia (M1, M2)'!$C$66:$C$78),IF(Q39="Ei","x "))</f>
        <v>0.22116925651624766</v>
      </c>
      <c r="S39" s="665"/>
      <c r="T39" s="666" t="str">
        <f>IF(Q39="Jah", LOOKUP(N39,'HT-Energia (M1, M2)'!$B$66:$B$78,'HT-Energia (M1, M2)'!$E$66:$E$78),IF(Q39= "Ei", " "))</f>
        <v>KHG inventuuri aruanne 2022, arvestuslik katla kasutegur 90%</v>
      </c>
      <c r="U39" s="528">
        <f t="shared" ref="U39:U48" si="0">IF(Q39="Jah",P39*R39, IF(Q39="Ei",S39*P39))</f>
        <v>11058.462825812383</v>
      </c>
      <c r="V39" s="528">
        <f>U39*0.001</f>
        <v>11.058462825812382</v>
      </c>
      <c r="X39" s="618">
        <v>3</v>
      </c>
      <c r="Y39" s="923" t="s">
        <v>1826</v>
      </c>
      <c r="Z39" s="924"/>
      <c r="AA39" s="664">
        <v>60000</v>
      </c>
      <c r="AB39" s="572" t="s">
        <v>75</v>
      </c>
      <c r="AC39" s="621">
        <f>IF(AB39="Jah",LOOKUP(Y39,'HT-Energia (M1, M2)'!$B$66:$B$78,'HT-Energia (M1, M2)'!$C$66:$C$78),IF(AB39="Ei","x "))</f>
        <v>2.8146399647099602E-4</v>
      </c>
      <c r="AD39" s="665"/>
      <c r="AE39" s="666" t="str">
        <f>IF(AB39="Jah", LOOKUP(Y39,'HT-Energia (M1, M2)'!$B$66:$B$78,'HT-Energia (M1, M2)'!$E$66:$E$78),IF(AB39= "Ei", " "))</f>
        <v>KHG inventuuri aruanne 2022, arvestuslik katla kasutegur 90%</v>
      </c>
      <c r="AF39" s="528">
        <f t="shared" ref="AF39:AF48" si="1">IF(AB39="Jah",AA39*AC39, IF(AB39="Ei",AD39*AA39))</f>
        <v>16.887839788259761</v>
      </c>
      <c r="AG39" s="528">
        <f>AF39*0.001</f>
        <v>1.6887839788259761E-2</v>
      </c>
    </row>
    <row r="40" spans="1:33" ht="15" customHeight="1">
      <c r="B40" s="618">
        <v>1</v>
      </c>
      <c r="C40" s="923" t="s">
        <v>178</v>
      </c>
      <c r="D40" s="924"/>
      <c r="E40" s="664">
        <v>10000</v>
      </c>
      <c r="F40" s="572" t="s">
        <v>75</v>
      </c>
      <c r="G40" s="621">
        <f>IF(F40="Jah",LOOKUP(C40,'HT-Energia (M1, M2)'!$B$66:$B$78,'HT-Energia (M1, M2)'!$C$66:$C$78),IF(F40="Ei","x "))</f>
        <v>0.34838235527488004</v>
      </c>
      <c r="H40" s="665"/>
      <c r="I40" s="666" t="str">
        <f>IF(F40="Jah", LOOKUP(C40,'HT-Energia (M1, M2)'!$B$66:$B$78,'HT-Energia (M1, M2)'!$E$66:$E$78),IF(F40= "Ei", " "))</f>
        <v>KHG inventuuri aruanne 2022, arvestuslik katla kasutegur 80%</v>
      </c>
      <c r="J40" s="528">
        <f t="shared" ref="J40:J48" si="2">IF(F40="Jah",E40*G40, IF(F40="Ei",H40*E40))</f>
        <v>3483.8235527488005</v>
      </c>
      <c r="K40" s="528">
        <f t="shared" ref="K40:K48" si="3">J40*0.001</f>
        <v>3.4838235527488006</v>
      </c>
      <c r="M40" s="618">
        <v>2</v>
      </c>
      <c r="N40" s="923" t="s">
        <v>178</v>
      </c>
      <c r="O40" s="924"/>
      <c r="P40" s="664">
        <v>20000</v>
      </c>
      <c r="Q40" s="572" t="s">
        <v>75</v>
      </c>
      <c r="R40" s="621">
        <f>IF(Q40="Jah",LOOKUP(N40,'HT-Energia (M1, M2)'!$B$66:$B$78,'HT-Energia (M1, M2)'!$C$66:$C$78),IF(Q40="Ei","x "))</f>
        <v>0.34838235527488004</v>
      </c>
      <c r="S40" s="665"/>
      <c r="T40" s="666" t="str">
        <f>IF(Q40="Jah", LOOKUP(N40,'HT-Energia (M1, M2)'!$B$66:$B$78,'HT-Energia (M1, M2)'!$E$66:$E$78),IF(Q40= "Ei", " "))</f>
        <v>KHG inventuuri aruanne 2022, arvestuslik katla kasutegur 80%</v>
      </c>
      <c r="U40" s="528">
        <f t="shared" si="0"/>
        <v>6967.6471054976009</v>
      </c>
      <c r="V40" s="528">
        <f t="shared" ref="V40:V48" si="4">U40*0.001</f>
        <v>6.9676471054976012</v>
      </c>
      <c r="X40" s="618"/>
      <c r="Y40" s="923"/>
      <c r="Z40" s="924"/>
      <c r="AA40" s="664"/>
      <c r="AB40" s="572" t="s">
        <v>75</v>
      </c>
      <c r="AC40" s="621" t="e">
        <f>IF(AB40="Jah",LOOKUP(Y40,'HT-Energia (M1, M2)'!$B$66:$B$78,'HT-Energia (M1, M2)'!$C$66:$C$78),IF(AB40="Ei","x "))</f>
        <v>#N/A</v>
      </c>
      <c r="AD40" s="665"/>
      <c r="AE40" s="666" t="e">
        <f>IF(AB40="Jah", LOOKUP(Y40,'HT-Energia (M1, M2)'!$B$66:$B$78,'HT-Energia (M1, M2)'!$E$66:$E$78),IF(AB40= "Ei", " "))</f>
        <v>#N/A</v>
      </c>
      <c r="AF40" s="528" t="e">
        <f t="shared" si="1"/>
        <v>#N/A</v>
      </c>
      <c r="AG40" s="528" t="e">
        <f t="shared" ref="AG40:AG48" si="5">AF40*0.001</f>
        <v>#N/A</v>
      </c>
    </row>
    <row r="41" spans="1:33" ht="15" customHeight="1">
      <c r="B41" s="618">
        <v>2</v>
      </c>
      <c r="C41" s="923" t="s">
        <v>2155</v>
      </c>
      <c r="D41" s="924"/>
      <c r="E41" s="664">
        <v>100000</v>
      </c>
      <c r="F41" s="572" t="s">
        <v>78</v>
      </c>
      <c r="G41" s="621" t="str">
        <f>IF(F41="Jah",LOOKUP(C41,'HT-Energia (M1, M2)'!$B$66:$B$78,'HT-Energia (M1, M2)'!$C$66:$C$78),IF(F41="Ei","x "))</f>
        <v xml:space="preserve">x </v>
      </c>
      <c r="H41" s="665"/>
      <c r="I41" s="666" t="str">
        <f>IF(F41="Jah", LOOKUP(C41,'HT-Energia (M1, M2)'!$B$66:$B$78,'HT-Energia (M1, M2)'!$E$66:$E$78),IF(F41= "Ei", " "))</f>
        <v xml:space="preserve"> </v>
      </c>
      <c r="J41" s="528">
        <f t="shared" si="2"/>
        <v>0</v>
      </c>
      <c r="K41" s="528">
        <f t="shared" si="3"/>
        <v>0</v>
      </c>
      <c r="M41" s="618">
        <v>3</v>
      </c>
      <c r="N41" s="923" t="s">
        <v>177</v>
      </c>
      <c r="O41" s="924"/>
      <c r="P41" s="664">
        <v>10000</v>
      </c>
      <c r="Q41" s="572" t="s">
        <v>75</v>
      </c>
      <c r="R41" s="621">
        <f>IF(Q41="Jah",LOOKUP(N41,'HT-Energia (M1, M2)'!$B$66:$B$78,'HT-Energia (M1, M2)'!$C$66:$C$78),IF(Q41="Ei","x "))</f>
        <v>0.46019344356445069</v>
      </c>
      <c r="S41" s="665"/>
      <c r="T41" s="666" t="str">
        <f>IF(Q41="Jah", LOOKUP(N41,'HT-Energia (M1, M2)'!$B$66:$B$78,'HT-Energia (M1, M2)'!$E$66:$E$78),IF(Q41= "Ei", " "))</f>
        <v>KHG inventuuri aruanne 2022, arvestuslik katla kasutegur 80%</v>
      </c>
      <c r="U41" s="528">
        <f t="shared" si="0"/>
        <v>4601.9344356445072</v>
      </c>
      <c r="V41" s="528">
        <f t="shared" si="4"/>
        <v>4.6019344356445071</v>
      </c>
      <c r="X41" s="618"/>
      <c r="Y41" s="923"/>
      <c r="Z41" s="924"/>
      <c r="AA41" s="664"/>
      <c r="AB41" s="572" t="s">
        <v>75</v>
      </c>
      <c r="AC41" s="621" t="e">
        <f>IF(AB41="Jah",LOOKUP(Y41,'HT-Energia (M1, M2)'!$B$66:$B$78,'HT-Energia (M1, M2)'!$C$66:$C$78),IF(AB41="Ei","x "))</f>
        <v>#N/A</v>
      </c>
      <c r="AD41" s="665"/>
      <c r="AE41" s="666" t="e">
        <f>IF(AB41="Jah", LOOKUP(Y41,'HT-Energia (M1, M2)'!$B$66:$B$78,'HT-Energia (M1, M2)'!$E$66:$E$78),IF(AB41= "Ei", " "))</f>
        <v>#N/A</v>
      </c>
      <c r="AF41" s="528" t="e">
        <f t="shared" si="1"/>
        <v>#N/A</v>
      </c>
      <c r="AG41" s="528" t="e">
        <f t="shared" si="5"/>
        <v>#N/A</v>
      </c>
    </row>
    <row r="42" spans="1:33" ht="15" customHeight="1">
      <c r="B42" s="618"/>
      <c r="C42" s="923"/>
      <c r="D42" s="924"/>
      <c r="E42" s="664"/>
      <c r="F42" s="572" t="s">
        <v>75</v>
      </c>
      <c r="G42" s="621" t="e">
        <f>IF(F42="Jah",LOOKUP(C42,'HT-Energia (M1, M2)'!$B$66:$B$78,'HT-Energia (M1, M2)'!$C$66:$C$78),IF(F42="Ei","x "))</f>
        <v>#N/A</v>
      </c>
      <c r="H42" s="665"/>
      <c r="I42" s="666" t="e">
        <f>IF(F42="Jah", LOOKUP(C42,'HT-Energia (M1, M2)'!$B$66:$B$78,'HT-Energia (M1, M2)'!$E$66:$E$78),IF(F42= "Ei", " "))</f>
        <v>#N/A</v>
      </c>
      <c r="J42" s="528" t="e">
        <f t="shared" si="2"/>
        <v>#N/A</v>
      </c>
      <c r="K42" s="528" t="e">
        <f t="shared" si="3"/>
        <v>#N/A</v>
      </c>
      <c r="M42" s="618"/>
      <c r="N42" s="923"/>
      <c r="O42" s="924"/>
      <c r="P42" s="664"/>
      <c r="Q42" s="572" t="s">
        <v>75</v>
      </c>
      <c r="R42" s="621" t="e">
        <f>IF(Q42="Jah",LOOKUP(N42,'HT-Energia (M1, M2)'!$B$66:$B$78,'HT-Energia (M1, M2)'!$C$66:$C$78),IF(Q42="Ei","x "))</f>
        <v>#N/A</v>
      </c>
      <c r="S42" s="665"/>
      <c r="T42" s="666" t="e">
        <f>IF(Q42="Jah", LOOKUP(N42,'HT-Energia (M1, M2)'!$B$66:$B$78,'HT-Energia (M1, M2)'!$E$66:$E$78),IF(Q42= "Ei", " "))</f>
        <v>#N/A</v>
      </c>
      <c r="U42" s="528" t="e">
        <f t="shared" si="0"/>
        <v>#N/A</v>
      </c>
      <c r="V42" s="528" t="e">
        <f t="shared" si="4"/>
        <v>#N/A</v>
      </c>
      <c r="X42" s="618"/>
      <c r="Y42" s="923"/>
      <c r="Z42" s="924"/>
      <c r="AA42" s="664"/>
      <c r="AB42" s="572" t="s">
        <v>75</v>
      </c>
      <c r="AC42" s="621" t="e">
        <f>IF(AB42="Jah",LOOKUP(Y42,'HT-Energia (M1, M2)'!$B$66:$B$78,'HT-Energia (M1, M2)'!$C$66:$C$78),IF(AB42="Ei","x "))</f>
        <v>#N/A</v>
      </c>
      <c r="AD42" s="665"/>
      <c r="AE42" s="666" t="e">
        <f>IF(AB42="Jah", LOOKUP(Y42,'HT-Energia (M1, M2)'!$B$66:$B$78,'HT-Energia (M1, M2)'!$E$66:$E$78),IF(AB42= "Ei", " "))</f>
        <v>#N/A</v>
      </c>
      <c r="AF42" s="528" t="e">
        <f t="shared" si="1"/>
        <v>#N/A</v>
      </c>
      <c r="AG42" s="528" t="e">
        <f t="shared" si="5"/>
        <v>#N/A</v>
      </c>
    </row>
    <row r="43" spans="1:33" ht="15" customHeight="1">
      <c r="B43" s="618"/>
      <c r="C43" s="923"/>
      <c r="D43" s="924"/>
      <c r="E43" s="664"/>
      <c r="F43" s="572" t="s">
        <v>75</v>
      </c>
      <c r="G43" s="621" t="e">
        <f>IF(F43="Jah",LOOKUP(C43,'HT-Energia (M1, M2)'!$B$66:$B$78,'HT-Energia (M1, M2)'!$C$66:$C$78),IF(F43="Ei","x "))</f>
        <v>#N/A</v>
      </c>
      <c r="H43" s="665"/>
      <c r="I43" s="666" t="e">
        <f>IF(F43="Jah", LOOKUP(C43,'HT-Energia (M1, M2)'!$B$66:$B$78,'HT-Energia (M1, M2)'!$E$66:$E$78),IF(F43= "Ei", " "))</f>
        <v>#N/A</v>
      </c>
      <c r="J43" s="528" t="e">
        <f t="shared" si="2"/>
        <v>#N/A</v>
      </c>
      <c r="K43" s="528" t="e">
        <f t="shared" si="3"/>
        <v>#N/A</v>
      </c>
      <c r="M43" s="618"/>
      <c r="N43" s="923"/>
      <c r="O43" s="924"/>
      <c r="P43" s="664"/>
      <c r="Q43" s="572" t="s">
        <v>75</v>
      </c>
      <c r="R43" s="621" t="e">
        <f>IF(Q43="Jah",LOOKUP(N43,'HT-Energia (M1, M2)'!$B$66:$B$78,'HT-Energia (M1, M2)'!$C$66:$C$78),IF(Q43="Ei","x "))</f>
        <v>#N/A</v>
      </c>
      <c r="S43" s="665"/>
      <c r="T43" s="666" t="e">
        <f>IF(Q43="Jah", LOOKUP(N43,'HT-Energia (M1, M2)'!$B$66:$B$78,'HT-Energia (M1, M2)'!$E$66:$E$78),IF(Q43= "Ei", " "))</f>
        <v>#N/A</v>
      </c>
      <c r="U43" s="528" t="e">
        <f t="shared" si="0"/>
        <v>#N/A</v>
      </c>
      <c r="V43" s="528" t="e">
        <f t="shared" si="4"/>
        <v>#N/A</v>
      </c>
      <c r="X43" s="618"/>
      <c r="Y43" s="923"/>
      <c r="Z43" s="924"/>
      <c r="AA43" s="664"/>
      <c r="AB43" s="572" t="s">
        <v>75</v>
      </c>
      <c r="AC43" s="621" t="e">
        <f>IF(AB43="Jah",LOOKUP(Y43,'HT-Energia (M1, M2)'!$B$66:$B$78,'HT-Energia (M1, M2)'!$C$66:$C$78),IF(AB43="Ei","x "))</f>
        <v>#N/A</v>
      </c>
      <c r="AD43" s="665"/>
      <c r="AE43" s="666" t="e">
        <f>IF(AB43="Jah", LOOKUP(Y43,'HT-Energia (M1, M2)'!$B$66:$B$78,'HT-Energia (M1, M2)'!$E$66:$E$78),IF(AB43= "Ei", " "))</f>
        <v>#N/A</v>
      </c>
      <c r="AF43" s="528" t="e">
        <f t="shared" si="1"/>
        <v>#N/A</v>
      </c>
      <c r="AG43" s="528" t="e">
        <f t="shared" si="5"/>
        <v>#N/A</v>
      </c>
    </row>
    <row r="44" spans="1:33" ht="15" customHeight="1">
      <c r="B44" s="618"/>
      <c r="C44" s="923"/>
      <c r="D44" s="924"/>
      <c r="E44" s="664"/>
      <c r="F44" s="572" t="s">
        <v>75</v>
      </c>
      <c r="G44" s="621" t="e">
        <f>IF(F44="Jah",LOOKUP(C44,'HT-Energia (M1, M2)'!$B$66:$B$78,'HT-Energia (M1, M2)'!$C$66:$C$78),IF(F44="Ei","x "))</f>
        <v>#N/A</v>
      </c>
      <c r="H44" s="665"/>
      <c r="I44" s="666" t="e">
        <f>IF(F44="Jah", LOOKUP(C44,'HT-Energia (M1, M2)'!$B$66:$B$78,'HT-Energia (M1, M2)'!$E$66:$E$78),IF(F44= "Ei", " "))</f>
        <v>#N/A</v>
      </c>
      <c r="J44" s="528" t="e">
        <f t="shared" si="2"/>
        <v>#N/A</v>
      </c>
      <c r="K44" s="528" t="e">
        <f t="shared" si="3"/>
        <v>#N/A</v>
      </c>
      <c r="M44" s="618"/>
      <c r="N44" s="923"/>
      <c r="O44" s="924"/>
      <c r="P44" s="664"/>
      <c r="Q44" s="572" t="s">
        <v>75</v>
      </c>
      <c r="R44" s="621" t="e">
        <f>IF(Q44="Jah",LOOKUP(N44,'HT-Energia (M1, M2)'!$B$66:$B$78,'HT-Energia (M1, M2)'!$C$66:$C$78),IF(Q44="Ei","x "))</f>
        <v>#N/A</v>
      </c>
      <c r="S44" s="665"/>
      <c r="T44" s="666" t="e">
        <f>IF(Q44="Jah", LOOKUP(N44,'HT-Energia (M1, M2)'!$B$66:$B$78,'HT-Energia (M1, M2)'!$E$66:$E$78),IF(Q44= "Ei", " "))</f>
        <v>#N/A</v>
      </c>
      <c r="U44" s="528" t="e">
        <f t="shared" si="0"/>
        <v>#N/A</v>
      </c>
      <c r="V44" s="528" t="e">
        <f t="shared" si="4"/>
        <v>#N/A</v>
      </c>
      <c r="X44" s="618"/>
      <c r="Y44" s="923"/>
      <c r="Z44" s="924"/>
      <c r="AA44" s="664"/>
      <c r="AB44" s="572" t="s">
        <v>75</v>
      </c>
      <c r="AC44" s="621" t="e">
        <f>IF(AB44="Jah",LOOKUP(Y44,'HT-Energia (M1, M2)'!$B$66:$B$78,'HT-Energia (M1, M2)'!$C$66:$C$78),IF(AB44="Ei","x "))</f>
        <v>#N/A</v>
      </c>
      <c r="AD44" s="665"/>
      <c r="AE44" s="666" t="e">
        <f>IF(AB44="Jah", LOOKUP(Y44,'HT-Energia (M1, M2)'!$B$66:$B$78,'HT-Energia (M1, M2)'!$E$66:$E$78),IF(AB44= "Ei", " "))</f>
        <v>#N/A</v>
      </c>
      <c r="AF44" s="528" t="e">
        <f t="shared" si="1"/>
        <v>#N/A</v>
      </c>
      <c r="AG44" s="528" t="e">
        <f t="shared" si="5"/>
        <v>#N/A</v>
      </c>
    </row>
    <row r="45" spans="1:33" ht="15" customHeight="1">
      <c r="B45" s="618"/>
      <c r="C45" s="923"/>
      <c r="D45" s="924"/>
      <c r="E45" s="664"/>
      <c r="F45" s="572" t="s">
        <v>75</v>
      </c>
      <c r="G45" s="621" t="e">
        <f>IF(F45="Jah",LOOKUP(C45,'HT-Energia (M1, M2)'!$B$66:$B$78,'HT-Energia (M1, M2)'!$C$66:$C$78),IF(F45="Ei","x "))</f>
        <v>#N/A</v>
      </c>
      <c r="H45" s="665"/>
      <c r="I45" s="666" t="e">
        <f>IF(F45="Jah", LOOKUP(C45,'HT-Energia (M1, M2)'!$B$66:$B$78,'HT-Energia (M1, M2)'!$E$66:$E$78),IF(F45= "Ei", " "))</f>
        <v>#N/A</v>
      </c>
      <c r="J45" s="528" t="e">
        <f t="shared" si="2"/>
        <v>#N/A</v>
      </c>
      <c r="K45" s="528" t="e">
        <f t="shared" si="3"/>
        <v>#N/A</v>
      </c>
      <c r="M45" s="618"/>
      <c r="N45" s="923"/>
      <c r="O45" s="924"/>
      <c r="P45" s="664"/>
      <c r="Q45" s="572" t="s">
        <v>75</v>
      </c>
      <c r="R45" s="621" t="e">
        <f>IF(Q45="Jah",LOOKUP(N45,'HT-Energia (M1, M2)'!$B$66:$B$78,'HT-Energia (M1, M2)'!$C$66:$C$78),IF(Q45="Ei","x "))</f>
        <v>#N/A</v>
      </c>
      <c r="S45" s="665"/>
      <c r="T45" s="666" t="e">
        <f>IF(Q45="Jah", LOOKUP(N45,'HT-Energia (M1, M2)'!$B$66:$B$78,'HT-Energia (M1, M2)'!$E$66:$E$78),IF(Q45= "Ei", " "))</f>
        <v>#N/A</v>
      </c>
      <c r="U45" s="528" t="e">
        <f t="shared" si="0"/>
        <v>#N/A</v>
      </c>
      <c r="V45" s="528" t="e">
        <f t="shared" si="4"/>
        <v>#N/A</v>
      </c>
      <c r="X45" s="618"/>
      <c r="Y45" s="923"/>
      <c r="Z45" s="924"/>
      <c r="AA45" s="664"/>
      <c r="AB45" s="572" t="s">
        <v>75</v>
      </c>
      <c r="AC45" s="621" t="e">
        <f>IF(AB45="Jah",LOOKUP(Y45,'HT-Energia (M1, M2)'!$B$66:$B$78,'HT-Energia (M1, M2)'!$C$66:$C$78),IF(AB45="Ei","x "))</f>
        <v>#N/A</v>
      </c>
      <c r="AD45" s="665"/>
      <c r="AE45" s="666" t="e">
        <f>IF(AB45="Jah", LOOKUP(Y45,'HT-Energia (M1, M2)'!$B$66:$B$78,'HT-Energia (M1, M2)'!$E$66:$E$78),IF(AB45= "Ei", " "))</f>
        <v>#N/A</v>
      </c>
      <c r="AF45" s="528" t="e">
        <f t="shared" si="1"/>
        <v>#N/A</v>
      </c>
      <c r="AG45" s="528" t="e">
        <f t="shared" si="5"/>
        <v>#N/A</v>
      </c>
    </row>
    <row r="46" spans="1:33" ht="15" customHeight="1">
      <c r="B46" s="618"/>
      <c r="C46" s="923"/>
      <c r="D46" s="924"/>
      <c r="E46" s="664"/>
      <c r="F46" s="572" t="s">
        <v>75</v>
      </c>
      <c r="G46" s="621" t="e">
        <f>IF(F46="Jah",LOOKUP(C46,'HT-Energia (M1, M2)'!$B$66:$B$78,'HT-Energia (M1, M2)'!$C$66:$C$78),IF(F46="Ei","x "))</f>
        <v>#N/A</v>
      </c>
      <c r="H46" s="665"/>
      <c r="I46" s="666" t="e">
        <f>IF(F46="Jah", LOOKUP(C46,'HT-Energia (M1, M2)'!$B$66:$B$78,'HT-Energia (M1, M2)'!$E$66:$E$78),IF(F46= "Ei", " "))</f>
        <v>#N/A</v>
      </c>
      <c r="J46" s="528" t="e">
        <f t="shared" si="2"/>
        <v>#N/A</v>
      </c>
      <c r="K46" s="528" t="e">
        <f t="shared" si="3"/>
        <v>#N/A</v>
      </c>
      <c r="M46" s="618"/>
      <c r="N46" s="923"/>
      <c r="O46" s="924"/>
      <c r="P46" s="664"/>
      <c r="Q46" s="572" t="s">
        <v>75</v>
      </c>
      <c r="R46" s="621" t="e">
        <f>IF(Q46="Jah",LOOKUP(N46,'HT-Energia (M1, M2)'!$B$66:$B$78,'HT-Energia (M1, M2)'!$C$66:$C$78),IF(Q46="Ei","x "))</f>
        <v>#N/A</v>
      </c>
      <c r="S46" s="665"/>
      <c r="T46" s="666" t="e">
        <f>IF(Q46="Jah", LOOKUP(N46,'HT-Energia (M1, M2)'!$B$66:$B$78,'HT-Energia (M1, M2)'!$E$66:$E$78),IF(Q46= "Ei", " "))</f>
        <v>#N/A</v>
      </c>
      <c r="U46" s="528" t="e">
        <f t="shared" si="0"/>
        <v>#N/A</v>
      </c>
      <c r="V46" s="528" t="e">
        <f t="shared" si="4"/>
        <v>#N/A</v>
      </c>
      <c r="X46" s="618"/>
      <c r="Y46" s="923"/>
      <c r="Z46" s="924"/>
      <c r="AA46" s="664"/>
      <c r="AB46" s="572" t="s">
        <v>75</v>
      </c>
      <c r="AC46" s="621" t="e">
        <f>IF(AB46="Jah",LOOKUP(Y46,'HT-Energia (M1, M2)'!$B$66:$B$78,'HT-Energia (M1, M2)'!$C$66:$C$78),IF(AB46="Ei","x "))</f>
        <v>#N/A</v>
      </c>
      <c r="AD46" s="665"/>
      <c r="AE46" s="666" t="e">
        <f>IF(AB46="Jah", LOOKUP(Y46,'HT-Energia (M1, M2)'!$B$66:$B$78,'HT-Energia (M1, M2)'!$E$66:$E$78),IF(AB46= "Ei", " "))</f>
        <v>#N/A</v>
      </c>
      <c r="AF46" s="528" t="e">
        <f t="shared" si="1"/>
        <v>#N/A</v>
      </c>
      <c r="AG46" s="528" t="e">
        <f t="shared" si="5"/>
        <v>#N/A</v>
      </c>
    </row>
    <row r="47" spans="1:33" ht="15" customHeight="1">
      <c r="B47" s="618"/>
      <c r="C47" s="923"/>
      <c r="D47" s="924"/>
      <c r="E47" s="664"/>
      <c r="F47" s="572" t="s">
        <v>75</v>
      </c>
      <c r="G47" s="621" t="e">
        <f>IF(F47="Jah",LOOKUP(C47,'HT-Energia (M1, M2)'!$B$66:$B$78,'HT-Energia (M1, M2)'!$C$66:$C$78),IF(F47="Ei","x "))</f>
        <v>#N/A</v>
      </c>
      <c r="H47" s="665"/>
      <c r="I47" s="666" t="e">
        <f>IF(F47="Jah", LOOKUP(C47,'HT-Energia (M1, M2)'!$B$66:$B$78,'HT-Energia (M1, M2)'!$E$66:$E$78),IF(F47= "Ei", " "))</f>
        <v>#N/A</v>
      </c>
      <c r="J47" s="528" t="e">
        <f t="shared" si="2"/>
        <v>#N/A</v>
      </c>
      <c r="K47" s="528" t="e">
        <f t="shared" si="3"/>
        <v>#N/A</v>
      </c>
      <c r="M47" s="618"/>
      <c r="N47" s="923"/>
      <c r="O47" s="924"/>
      <c r="P47" s="664"/>
      <c r="Q47" s="572" t="s">
        <v>75</v>
      </c>
      <c r="R47" s="621" t="e">
        <f>IF(Q47="Jah",LOOKUP(N47,'HT-Energia (M1, M2)'!$B$66:$B$78,'HT-Energia (M1, M2)'!$C$66:$C$78),IF(Q47="Ei","x "))</f>
        <v>#N/A</v>
      </c>
      <c r="S47" s="665"/>
      <c r="T47" s="666" t="e">
        <f>IF(Q47="Jah", LOOKUP(N47,'HT-Energia (M1, M2)'!$B$66:$B$78,'HT-Energia (M1, M2)'!$E$66:$E$78),IF(Q47= "Ei", " "))</f>
        <v>#N/A</v>
      </c>
      <c r="U47" s="528" t="e">
        <f t="shared" si="0"/>
        <v>#N/A</v>
      </c>
      <c r="V47" s="528" t="e">
        <f t="shared" si="4"/>
        <v>#N/A</v>
      </c>
      <c r="X47" s="618"/>
      <c r="Y47" s="923"/>
      <c r="Z47" s="924"/>
      <c r="AA47" s="664"/>
      <c r="AB47" s="572" t="s">
        <v>75</v>
      </c>
      <c r="AC47" s="621" t="e">
        <f>IF(AB47="Jah",LOOKUP(Y47,'HT-Energia (M1, M2)'!$B$66:$B$78,'HT-Energia (M1, M2)'!$C$66:$C$78),IF(AB47="Ei","x "))</f>
        <v>#N/A</v>
      </c>
      <c r="AD47" s="665"/>
      <c r="AE47" s="666" t="e">
        <f>IF(AB47="Jah", LOOKUP(Y47,'HT-Energia (M1, M2)'!$B$66:$B$78,'HT-Energia (M1, M2)'!$E$66:$E$78),IF(AB47= "Ei", " "))</f>
        <v>#N/A</v>
      </c>
      <c r="AF47" s="528" t="e">
        <f t="shared" si="1"/>
        <v>#N/A</v>
      </c>
      <c r="AG47" s="528" t="e">
        <f t="shared" si="5"/>
        <v>#N/A</v>
      </c>
    </row>
    <row r="48" spans="1:33" ht="15" customHeight="1" thickBot="1">
      <c r="A48" s="297"/>
      <c r="B48" s="667"/>
      <c r="C48" s="930"/>
      <c r="D48" s="931"/>
      <c r="E48" s="668"/>
      <c r="F48" s="576" t="s">
        <v>75</v>
      </c>
      <c r="G48" s="669" t="e">
        <f>IF(F48="Jah",LOOKUP(C48,'HT-Energia (M1, M2)'!$B$66:$B$78,'HT-Energia (M1, M2)'!$C$66:$C$78),IF(F48="Ei","x "))</f>
        <v>#N/A</v>
      </c>
      <c r="H48" s="670"/>
      <c r="I48" s="671" t="e">
        <f>IF(F48="Jah", LOOKUP(C48,'HT-Energia (M1, M2)'!$B$66:$B$78,'HT-Energia (M1, M2)'!$E$66:$E$78),IF(F48= "Ei", " "))</f>
        <v>#N/A</v>
      </c>
      <c r="J48" s="530" t="e">
        <f t="shared" si="2"/>
        <v>#N/A</v>
      </c>
      <c r="K48" s="530" t="e">
        <f t="shared" si="3"/>
        <v>#N/A</v>
      </c>
      <c r="M48" s="667"/>
      <c r="N48" s="930"/>
      <c r="O48" s="931"/>
      <c r="P48" s="668"/>
      <c r="Q48" s="576" t="s">
        <v>75</v>
      </c>
      <c r="R48" s="669" t="e">
        <f>IF(Q48="Jah",LOOKUP(N48,'HT-Energia (M1, M2)'!$B$66:$B$78,'HT-Energia (M1, M2)'!$C$66:$C$78),IF(Q48="Ei","x "))</f>
        <v>#N/A</v>
      </c>
      <c r="S48" s="670"/>
      <c r="T48" s="671" t="e">
        <f>IF(Q48="Jah", LOOKUP(N48,'HT-Energia (M1, M2)'!$B$66:$B$78,'HT-Energia (M1, M2)'!$E$66:$E$78),IF(Q48= "Ei", " "))</f>
        <v>#N/A</v>
      </c>
      <c r="U48" s="530" t="e">
        <f t="shared" si="0"/>
        <v>#N/A</v>
      </c>
      <c r="V48" s="530" t="e">
        <f t="shared" si="4"/>
        <v>#N/A</v>
      </c>
      <c r="X48" s="667"/>
      <c r="Y48" s="930"/>
      <c r="Z48" s="931"/>
      <c r="AA48" s="668"/>
      <c r="AB48" s="576" t="s">
        <v>75</v>
      </c>
      <c r="AC48" s="669" t="e">
        <f>IF(AB48="Jah",LOOKUP(Y48,'HT-Energia (M1, M2)'!$B$66:$B$78,'HT-Energia (M1, M2)'!$C$66:$C$78),IF(AB48="Ei","x "))</f>
        <v>#N/A</v>
      </c>
      <c r="AD48" s="670"/>
      <c r="AE48" s="671" t="e">
        <f>IF(AB48="Jah", LOOKUP(Y48,'HT-Energia (M1, M2)'!$B$66:$B$78,'HT-Energia (M1, M2)'!$E$66:$E$78),IF(AB48= "Ei", " "))</f>
        <v>#N/A</v>
      </c>
      <c r="AF48" s="530" t="e">
        <f t="shared" si="1"/>
        <v>#N/A</v>
      </c>
      <c r="AG48" s="530" t="e">
        <f t="shared" si="5"/>
        <v>#N/A</v>
      </c>
    </row>
    <row r="49" spans="1:33" ht="15" customHeight="1" thickTop="1" thickBot="1">
      <c r="A49" s="297"/>
      <c r="B49" s="579"/>
      <c r="C49" s="580"/>
      <c r="D49" s="580"/>
      <c r="E49" s="580"/>
      <c r="F49" s="580"/>
      <c r="G49" s="580"/>
      <c r="H49" s="580"/>
      <c r="I49" s="533" t="s">
        <v>1592</v>
      </c>
      <c r="J49" s="672">
        <f>SUMIF(J39:J48,"&lt;&gt;#N/A")</f>
        <v>26493.495730971335</v>
      </c>
      <c r="K49" s="582">
        <f>SUMIF(K39:K48,"&lt;&gt;#N/A")</f>
        <v>26.49349573097134</v>
      </c>
      <c r="M49" s="579"/>
      <c r="N49" s="580"/>
      <c r="O49" s="580"/>
      <c r="P49" s="580"/>
      <c r="Q49" s="580"/>
      <c r="R49" s="580"/>
      <c r="S49" s="580"/>
      <c r="T49" s="533" t="s">
        <v>1592</v>
      </c>
      <c r="U49" s="672">
        <f>SUMIF(U39:U48,"&lt;&gt;#N/A")</f>
        <v>22628.044366954491</v>
      </c>
      <c r="V49" s="582">
        <f>SUMIF(V39:V48,"&lt;&gt;#N/A")</f>
        <v>22.628044366954491</v>
      </c>
      <c r="X49" s="579"/>
      <c r="Y49" s="580"/>
      <c r="Z49" s="580"/>
      <c r="AA49" s="580"/>
      <c r="AB49" s="580"/>
      <c r="AC49" s="580"/>
      <c r="AD49" s="580"/>
      <c r="AE49" s="533" t="s">
        <v>1592</v>
      </c>
      <c r="AF49" s="672">
        <f>SUMIF(AF39:AF48,"&lt;&gt;#N/A")</f>
        <v>16.887839788259761</v>
      </c>
      <c r="AG49" s="582">
        <f>SUMIF(AG39:AG48,"&lt;&gt;#N/A")</f>
        <v>1.6887839788259761E-2</v>
      </c>
    </row>
    <row r="50" spans="1:33" ht="15" customHeight="1" thickTop="1">
      <c r="J50" s="500"/>
      <c r="K50" s="500"/>
      <c r="U50" s="500"/>
      <c r="V50" s="500"/>
      <c r="AF50" s="500"/>
      <c r="AG50" s="500"/>
    </row>
    <row r="51" spans="1:33" ht="15" customHeight="1">
      <c r="A51" s="297"/>
      <c r="B51" s="536"/>
      <c r="C51" s="537"/>
      <c r="D51" s="537"/>
      <c r="E51" s="537"/>
      <c r="F51" s="537"/>
      <c r="G51" s="537"/>
      <c r="H51" s="537"/>
      <c r="I51" s="538" t="s">
        <v>1575</v>
      </c>
      <c r="J51" s="539">
        <f>SUMIF(B39:B48,1,J39:J48)</f>
        <v>26493.495730971335</v>
      </c>
      <c r="K51" s="540">
        <f>J51*0.001</f>
        <v>26.493495730971336</v>
      </c>
      <c r="M51" s="536"/>
      <c r="N51" s="537"/>
      <c r="O51" s="537"/>
      <c r="P51" s="537"/>
      <c r="Q51" s="537"/>
      <c r="R51" s="537"/>
      <c r="S51" s="537"/>
      <c r="T51" s="538" t="s">
        <v>1575</v>
      </c>
      <c r="U51" s="539">
        <f>SUMIF(M39:M48,1,U39:U48)</f>
        <v>11058.462825812383</v>
      </c>
      <c r="V51" s="540">
        <f>U51*0.001</f>
        <v>11.058462825812382</v>
      </c>
      <c r="X51" s="536"/>
      <c r="Y51" s="537"/>
      <c r="Z51" s="537"/>
      <c r="AA51" s="537"/>
      <c r="AB51" s="537"/>
      <c r="AC51" s="537"/>
      <c r="AD51" s="537"/>
      <c r="AE51" s="538" t="s">
        <v>1575</v>
      </c>
      <c r="AF51" s="539">
        <f>SUMIF(X39:X48,1,AF39:AF48)</f>
        <v>0</v>
      </c>
      <c r="AG51" s="540">
        <f>AF51*0.001</f>
        <v>0</v>
      </c>
    </row>
    <row r="52" spans="1:33" ht="15" customHeight="1">
      <c r="B52" s="536"/>
      <c r="C52" s="537"/>
      <c r="D52" s="537"/>
      <c r="E52" s="537"/>
      <c r="F52" s="537"/>
      <c r="G52" s="537"/>
      <c r="H52" s="537"/>
      <c r="I52" s="538" t="s">
        <v>1576</v>
      </c>
      <c r="J52" s="539">
        <f>SUMIF(B39:B48,2,J39:J48)</f>
        <v>0</v>
      </c>
      <c r="K52" s="540">
        <f t="shared" ref="K52:K53" si="6">J52*0.001</f>
        <v>0</v>
      </c>
      <c r="M52" s="536"/>
      <c r="N52" s="537"/>
      <c r="O52" s="537"/>
      <c r="P52" s="537"/>
      <c r="Q52" s="537"/>
      <c r="R52" s="537"/>
      <c r="S52" s="537"/>
      <c r="T52" s="538" t="s">
        <v>1576</v>
      </c>
      <c r="U52" s="539">
        <f>SUMIF(M39:M48,2,U39:U48)</f>
        <v>6967.6471054976009</v>
      </c>
      <c r="V52" s="540">
        <f t="shared" ref="V52:V53" si="7">U52*0.001</f>
        <v>6.9676471054976012</v>
      </c>
      <c r="X52" s="536"/>
      <c r="Y52" s="537"/>
      <c r="Z52" s="537"/>
      <c r="AA52" s="537"/>
      <c r="AB52" s="537"/>
      <c r="AC52" s="537"/>
      <c r="AD52" s="537"/>
      <c r="AE52" s="538" t="s">
        <v>1576</v>
      </c>
      <c r="AF52" s="539">
        <f>SUMIF(X39:X48,2,AF39:AF48)</f>
        <v>0</v>
      </c>
      <c r="AG52" s="540">
        <f t="shared" ref="AG52:AG53" si="8">AF52*0.001</f>
        <v>0</v>
      </c>
    </row>
    <row r="53" spans="1:33" ht="15" customHeight="1">
      <c r="B53" s="536"/>
      <c r="C53" s="537"/>
      <c r="D53" s="537"/>
      <c r="E53" s="537"/>
      <c r="F53" s="537"/>
      <c r="G53" s="537"/>
      <c r="H53" s="537"/>
      <c r="I53" s="538" t="s">
        <v>1577</v>
      </c>
      <c r="J53" s="539">
        <f>SUMIF(B39:B48,3,J39:J48)</f>
        <v>0</v>
      </c>
      <c r="K53" s="540">
        <f t="shared" si="6"/>
        <v>0</v>
      </c>
      <c r="M53" s="536"/>
      <c r="N53" s="537"/>
      <c r="O53" s="537"/>
      <c r="P53" s="537"/>
      <c r="Q53" s="537"/>
      <c r="R53" s="537"/>
      <c r="S53" s="537"/>
      <c r="T53" s="538" t="s">
        <v>1577</v>
      </c>
      <c r="U53" s="539">
        <f>SUMIF(M39:M48,3,U39:U48)</f>
        <v>4601.9344356445072</v>
      </c>
      <c r="V53" s="540">
        <f t="shared" si="7"/>
        <v>4.6019344356445071</v>
      </c>
      <c r="X53" s="536"/>
      <c r="Y53" s="537"/>
      <c r="Z53" s="537"/>
      <c r="AA53" s="537"/>
      <c r="AB53" s="537"/>
      <c r="AC53" s="537"/>
      <c r="AD53" s="537"/>
      <c r="AE53" s="538" t="s">
        <v>1577</v>
      </c>
      <c r="AF53" s="539">
        <f>SUMIF(X39:X48,3,AF39:AF48)</f>
        <v>16.887839788259761</v>
      </c>
      <c r="AG53" s="540">
        <f t="shared" si="8"/>
        <v>1.6887839788259761E-2</v>
      </c>
    </row>
  </sheetData>
  <mergeCells count="57">
    <mergeCell ref="C44:D44"/>
    <mergeCell ref="C45:D45"/>
    <mergeCell ref="C46:D46"/>
    <mergeCell ref="C47:D47"/>
    <mergeCell ref="C48:D48"/>
    <mergeCell ref="C39:D39"/>
    <mergeCell ref="C40:D40"/>
    <mergeCell ref="C41:D41"/>
    <mergeCell ref="C42:D42"/>
    <mergeCell ref="C43:D43"/>
    <mergeCell ref="J35:K37"/>
    <mergeCell ref="G38:H38"/>
    <mergeCell ref="B35:B38"/>
    <mergeCell ref="E35:E38"/>
    <mergeCell ref="F35:F37"/>
    <mergeCell ref="G35:G37"/>
    <mergeCell ref="H35:H37"/>
    <mergeCell ref="I35:I38"/>
    <mergeCell ref="C35:D38"/>
    <mergeCell ref="M35:M38"/>
    <mergeCell ref="N35:O38"/>
    <mergeCell ref="P35:P38"/>
    <mergeCell ref="Q35:Q37"/>
    <mergeCell ref="R35:R37"/>
    <mergeCell ref="N45:O45"/>
    <mergeCell ref="N46:O46"/>
    <mergeCell ref="N47:O47"/>
    <mergeCell ref="N48:O48"/>
    <mergeCell ref="X35:X38"/>
    <mergeCell ref="N40:O40"/>
    <mergeCell ref="N41:O41"/>
    <mergeCell ref="N42:O42"/>
    <mergeCell ref="N43:O43"/>
    <mergeCell ref="N44:O44"/>
    <mergeCell ref="S35:S37"/>
    <mergeCell ref="T35:T38"/>
    <mergeCell ref="U35:V37"/>
    <mergeCell ref="R38:S38"/>
    <mergeCell ref="N39:O39"/>
    <mergeCell ref="AE35:AE38"/>
    <mergeCell ref="AF35:AG37"/>
    <mergeCell ref="AC38:AD38"/>
    <mergeCell ref="Y39:Z39"/>
    <mergeCell ref="Y40:Z40"/>
    <mergeCell ref="Y35:Z38"/>
    <mergeCell ref="AA35:AA38"/>
    <mergeCell ref="AB35:AB37"/>
    <mergeCell ref="AC35:AC37"/>
    <mergeCell ref="AD35:AD37"/>
    <mergeCell ref="Y46:Z46"/>
    <mergeCell ref="Y47:Z47"/>
    <mergeCell ref="Y48:Z48"/>
    <mergeCell ref="Y41:Z41"/>
    <mergeCell ref="Y42:Z42"/>
    <mergeCell ref="Y43:Z43"/>
    <mergeCell ref="Y44:Z44"/>
    <mergeCell ref="Y45:Z45"/>
  </mergeCells>
  <conditionalFormatting sqref="I39:I48">
    <cfRule type="expression" dxfId="89" priority="3">
      <formula>$F39="Ei"</formula>
    </cfRule>
  </conditionalFormatting>
  <conditionalFormatting sqref="T39:T48">
    <cfRule type="expression" dxfId="88" priority="2">
      <formula>$Q39="Ei"</formula>
    </cfRule>
  </conditionalFormatting>
  <conditionalFormatting sqref="AE39:AE48">
    <cfRule type="expression" dxfId="87" priority="1">
      <formula>$AB39="Ei"</formula>
    </cfRule>
  </conditionalFormatting>
  <hyperlinks>
    <hyperlink ref="A2" location="Sisukord!A1" display="Sisukord"/>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Viited!$B$65:$B$66</xm:f>
          </x14:formula1>
          <xm:sqref>F39:F48 Q39:Q48 AB39:AB48</xm:sqref>
        </x14:dataValidation>
        <x14:dataValidation type="list" allowBlank="1" showInputMessage="1" showErrorMessage="1">
          <x14:formula1>
            <xm:f>'HT-Energia (M1, M2)'!$B$66:$B$78</xm:f>
          </x14:formula1>
          <xm:sqref>C39:C48 N39:N48 Y39:Y48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39997558519241921"/>
  </sheetPr>
  <dimension ref="A1:BB203"/>
  <sheetViews>
    <sheetView showGridLines="0" zoomScale="90" zoomScaleNormal="90" zoomScaleSheetLayoutView="110" workbookViewId="0">
      <pane xSplit="1" ySplit="1" topLeftCell="E173" activePane="bottomRight" state="frozen"/>
      <selection activeCell="B5" sqref="B5"/>
      <selection pane="topRight" activeCell="B5" sqref="B5"/>
      <selection pane="bottomLeft" activeCell="B5" sqref="B5"/>
      <selection pane="bottomRight" activeCell="AD199" sqref="AD199"/>
    </sheetView>
  </sheetViews>
  <sheetFormatPr defaultColWidth="8.54296875" defaultRowHeight="15" customHeight="1"/>
  <cols>
    <col min="1" max="1" width="7.1796875" style="302" customWidth="1"/>
    <col min="2" max="2" width="9.7265625" style="297" customWidth="1"/>
    <col min="3" max="3" width="9.54296875" style="297" customWidth="1"/>
    <col min="4" max="4" width="38.453125" style="297" customWidth="1"/>
    <col min="5" max="5" width="20.453125" style="297" customWidth="1"/>
    <col min="6" max="6" width="18.54296875" style="365" customWidth="1"/>
    <col min="7" max="7" width="19.7265625" style="297" customWidth="1"/>
    <col min="8" max="8" width="23.7265625" style="365" customWidth="1"/>
    <col min="9" max="13" width="18.54296875" style="297" customWidth="1"/>
    <col min="14" max="18" width="14" style="297" customWidth="1"/>
    <col min="19" max="19" width="8.54296875" style="297" customWidth="1"/>
    <col min="20" max="20" width="9.7265625" style="297" customWidth="1"/>
    <col min="21" max="21" width="9.54296875" style="297" customWidth="1"/>
    <col min="22" max="22" width="38.453125" style="297" customWidth="1"/>
    <col min="23" max="23" width="20.453125" style="297" customWidth="1"/>
    <col min="24" max="25" width="18.54296875" style="297" customWidth="1"/>
    <col min="26" max="26" width="23.7265625" style="297" customWidth="1"/>
    <col min="27" max="31" width="18.54296875" style="297" customWidth="1"/>
    <col min="32" max="36" width="14" style="297" customWidth="1"/>
    <col min="37" max="37" width="8.54296875" style="297" customWidth="1"/>
    <col min="38" max="38" width="9.7265625" style="297" customWidth="1"/>
    <col min="39" max="39" width="9.54296875" style="297" customWidth="1"/>
    <col min="40" max="40" width="38.453125" style="297" customWidth="1"/>
    <col min="41" max="41" width="20.453125" style="297" customWidth="1"/>
    <col min="42" max="43" width="18.54296875" style="297" customWidth="1"/>
    <col min="44" max="44" width="23.7265625" style="297" customWidth="1"/>
    <col min="45" max="49" width="18.54296875" style="297" customWidth="1"/>
    <col min="50" max="54" width="14" style="297" customWidth="1"/>
    <col min="55" max="16384" width="8.54296875" style="297"/>
  </cols>
  <sheetData>
    <row r="1" spans="1:37" s="396" customFormat="1" ht="21" customHeight="1">
      <c r="A1" s="293"/>
      <c r="B1" s="291" t="s">
        <v>105</v>
      </c>
      <c r="C1" s="319"/>
      <c r="F1" s="611"/>
      <c r="H1" s="611"/>
      <c r="AK1" s="297"/>
    </row>
    <row r="2" spans="1:37" s="501" customFormat="1" ht="15" customHeight="1">
      <c r="A2" s="295" t="s">
        <v>1</v>
      </c>
      <c r="B2" s="516" t="s">
        <v>1756</v>
      </c>
      <c r="C2" s="517"/>
      <c r="D2" s="612"/>
      <c r="E2" s="612"/>
      <c r="F2" s="613"/>
      <c r="G2" s="612"/>
      <c r="H2" s="613"/>
      <c r="I2" s="612"/>
      <c r="J2" s="612"/>
      <c r="K2" s="612"/>
      <c r="L2" s="612"/>
      <c r="M2" s="612"/>
      <c r="N2" s="612"/>
      <c r="O2" s="612"/>
      <c r="P2" s="614"/>
      <c r="AK2" s="297"/>
    </row>
    <row r="3" spans="1:37" s="501" customFormat="1" ht="15" customHeight="1">
      <c r="A3" s="297"/>
      <c r="B3" s="519" t="s">
        <v>2318</v>
      </c>
      <c r="C3" s="297"/>
      <c r="D3" s="297"/>
      <c r="E3" s="297"/>
      <c r="F3" s="365"/>
      <c r="G3" s="297"/>
      <c r="H3" s="365"/>
      <c r="I3" s="297"/>
      <c r="J3" s="297"/>
      <c r="K3" s="297"/>
      <c r="L3" s="297"/>
      <c r="M3" s="297"/>
      <c r="P3" s="603"/>
      <c r="AK3" s="297"/>
    </row>
    <row r="4" spans="1:37" s="501" customFormat="1" ht="15" customHeight="1">
      <c r="A4" s="297"/>
      <c r="B4" s="519" t="s">
        <v>1755</v>
      </c>
      <c r="C4" s="297"/>
      <c r="D4" s="297"/>
      <c r="E4" s="297"/>
      <c r="F4" s="365"/>
      <c r="G4" s="297"/>
      <c r="H4" s="365"/>
      <c r="I4" s="297"/>
      <c r="J4" s="297"/>
      <c r="K4" s="297"/>
      <c r="L4" s="297"/>
      <c r="M4" s="297"/>
      <c r="P4" s="603"/>
      <c r="AK4" s="297"/>
    </row>
    <row r="5" spans="1:37" s="501" customFormat="1" ht="15" customHeight="1">
      <c r="A5" s="297"/>
      <c r="B5" s="519" t="s">
        <v>2319</v>
      </c>
      <c r="C5" s="297"/>
      <c r="D5" s="297"/>
      <c r="E5" s="297"/>
      <c r="F5" s="365"/>
      <c r="G5" s="297"/>
      <c r="H5" s="365"/>
      <c r="I5" s="297"/>
      <c r="J5" s="297"/>
      <c r="K5" s="297"/>
      <c r="L5" s="297"/>
      <c r="M5" s="297"/>
      <c r="P5" s="603"/>
      <c r="AK5" s="297"/>
    </row>
    <row r="6" spans="1:37" s="501" customFormat="1" ht="15" customHeight="1">
      <c r="A6" s="297"/>
      <c r="B6" s="519" t="s">
        <v>2333</v>
      </c>
      <c r="C6" s="297"/>
      <c r="D6" s="297"/>
      <c r="E6" s="297"/>
      <c r="F6" s="365"/>
      <c r="G6" s="297"/>
      <c r="H6" s="365"/>
      <c r="I6" s="297"/>
      <c r="J6" s="297"/>
      <c r="K6" s="297"/>
      <c r="L6" s="297"/>
      <c r="M6" s="297"/>
      <c r="P6" s="603"/>
      <c r="AK6" s="297"/>
    </row>
    <row r="7" spans="1:37" s="501" customFormat="1" ht="15" customHeight="1">
      <c r="A7" s="297"/>
      <c r="B7" s="519"/>
      <c r="C7" s="297"/>
      <c r="D7" s="297"/>
      <c r="E7" s="297"/>
      <c r="F7" s="365"/>
      <c r="G7" s="297"/>
      <c r="H7" s="365"/>
      <c r="I7" s="297"/>
      <c r="J7" s="297"/>
      <c r="K7" s="297"/>
      <c r="L7" s="297"/>
      <c r="M7" s="297"/>
      <c r="P7" s="603"/>
      <c r="AK7" s="297"/>
    </row>
    <row r="8" spans="1:37" s="501" customFormat="1" ht="15" customHeight="1">
      <c r="A8" s="297"/>
      <c r="B8" s="554" t="s">
        <v>66</v>
      </c>
      <c r="C8" s="296"/>
      <c r="F8" s="602"/>
      <c r="H8" s="602"/>
      <c r="P8" s="603"/>
      <c r="AK8" s="297"/>
    </row>
    <row r="9" spans="1:37" s="501" customFormat="1" ht="15" customHeight="1">
      <c r="A9" s="297"/>
      <c r="B9" s="519" t="s">
        <v>1757</v>
      </c>
      <c r="C9" s="297"/>
      <c r="F9" s="602"/>
      <c r="H9" s="602"/>
      <c r="P9" s="603"/>
      <c r="AK9" s="297"/>
    </row>
    <row r="10" spans="1:37" s="501" customFormat="1" ht="15" customHeight="1">
      <c r="A10" s="297"/>
      <c r="B10" s="519" t="s">
        <v>1758</v>
      </c>
      <c r="C10" s="297"/>
      <c r="F10" s="602"/>
      <c r="H10" s="602"/>
      <c r="P10" s="603"/>
      <c r="AK10" s="297"/>
    </row>
    <row r="11" spans="1:37" s="501" customFormat="1" ht="15" customHeight="1">
      <c r="A11" s="297"/>
      <c r="B11" s="519" t="s">
        <v>1759</v>
      </c>
      <c r="C11" s="297"/>
      <c r="F11" s="602"/>
      <c r="H11" s="602"/>
      <c r="P11" s="603"/>
      <c r="AK11" s="297"/>
    </row>
    <row r="12" spans="1:37" s="501" customFormat="1" ht="15" customHeight="1">
      <c r="A12" s="297"/>
      <c r="B12" s="519" t="s">
        <v>1760</v>
      </c>
      <c r="C12" s="297"/>
      <c r="F12" s="602"/>
      <c r="H12" s="602"/>
      <c r="P12" s="603"/>
      <c r="AK12" s="297"/>
    </row>
    <row r="13" spans="1:37" s="501" customFormat="1" ht="15" customHeight="1">
      <c r="A13" s="297"/>
      <c r="B13" s="519" t="s">
        <v>1664</v>
      </c>
      <c r="C13" s="297"/>
      <c r="F13" s="602"/>
      <c r="H13" s="602"/>
      <c r="P13" s="603"/>
      <c r="AK13" s="297"/>
    </row>
    <row r="14" spans="1:37" s="501" customFormat="1" ht="15" customHeight="1">
      <c r="A14" s="297"/>
      <c r="B14" s="519" t="s">
        <v>1665</v>
      </c>
      <c r="C14" s="297"/>
      <c r="F14" s="602"/>
      <c r="H14" s="602"/>
      <c r="P14" s="603"/>
      <c r="AK14" s="297"/>
    </row>
    <row r="15" spans="1:37" s="501" customFormat="1" ht="15" customHeight="1">
      <c r="A15" s="297"/>
      <c r="B15" s="519" t="s">
        <v>2272</v>
      </c>
      <c r="C15" s="297"/>
      <c r="F15" s="602"/>
      <c r="H15" s="602"/>
      <c r="P15" s="603"/>
      <c r="AK15" s="297"/>
    </row>
    <row r="16" spans="1:37" s="501" customFormat="1" ht="15" customHeight="1">
      <c r="A16" s="297"/>
      <c r="B16" s="519" t="s">
        <v>2274</v>
      </c>
      <c r="C16" s="297"/>
      <c r="F16" s="602"/>
      <c r="H16" s="602"/>
      <c r="P16" s="603"/>
      <c r="AK16" s="297"/>
    </row>
    <row r="17" spans="1:37" s="501" customFormat="1" ht="15" customHeight="1">
      <c r="A17" s="297"/>
      <c r="B17" s="519" t="s">
        <v>1762</v>
      </c>
      <c r="C17" s="297"/>
      <c r="F17" s="602"/>
      <c r="H17" s="602"/>
      <c r="P17" s="603"/>
      <c r="AK17" s="297"/>
    </row>
    <row r="18" spans="1:37" s="501" customFormat="1" ht="15" customHeight="1">
      <c r="A18" s="297"/>
      <c r="B18" s="519" t="s">
        <v>1666</v>
      </c>
      <c r="C18" s="297"/>
      <c r="F18" s="602"/>
      <c r="H18" s="602"/>
      <c r="P18" s="603"/>
      <c r="AK18" s="297"/>
    </row>
    <row r="19" spans="1:37" s="501" customFormat="1" ht="15" customHeight="1">
      <c r="A19" s="297"/>
      <c r="B19" s="519" t="s">
        <v>2104</v>
      </c>
      <c r="C19" s="297"/>
      <c r="F19" s="602"/>
      <c r="H19" s="602"/>
      <c r="P19" s="603"/>
      <c r="AK19" s="297"/>
    </row>
    <row r="20" spans="1:37" s="501" customFormat="1" ht="15" customHeight="1">
      <c r="A20" s="297"/>
      <c r="B20" s="519" t="s">
        <v>2275</v>
      </c>
      <c r="C20" s="297"/>
      <c r="F20" s="602"/>
      <c r="H20" s="602"/>
      <c r="P20" s="603"/>
      <c r="AK20" s="297"/>
    </row>
    <row r="21" spans="1:37" s="501" customFormat="1" ht="15" customHeight="1">
      <c r="A21" s="297"/>
      <c r="B21" s="519" t="s">
        <v>1763</v>
      </c>
      <c r="C21" s="297"/>
      <c r="F21" s="602"/>
      <c r="H21" s="602"/>
      <c r="P21" s="603"/>
      <c r="AK21" s="297"/>
    </row>
    <row r="22" spans="1:37" s="501" customFormat="1" ht="15" customHeight="1">
      <c r="A22" s="297"/>
      <c r="B22" s="519" t="s">
        <v>1764</v>
      </c>
      <c r="C22" s="297"/>
      <c r="F22" s="602"/>
      <c r="H22" s="602"/>
      <c r="P22" s="603"/>
      <c r="AK22" s="297"/>
    </row>
    <row r="23" spans="1:37" s="501" customFormat="1" ht="15" customHeight="1">
      <c r="A23" s="297"/>
      <c r="B23" s="519" t="s">
        <v>2105</v>
      </c>
      <c r="C23" s="297"/>
      <c r="F23" s="602"/>
      <c r="H23" s="602"/>
      <c r="P23" s="603"/>
      <c r="AK23" s="297"/>
    </row>
    <row r="24" spans="1:37" s="501" customFormat="1" ht="15" customHeight="1">
      <c r="A24" s="297"/>
      <c r="B24" s="519" t="s">
        <v>2273</v>
      </c>
      <c r="C24" s="297"/>
      <c r="F24" s="602"/>
      <c r="H24" s="602"/>
      <c r="P24" s="603"/>
      <c r="AK24" s="297"/>
    </row>
    <row r="25" spans="1:37" s="501" customFormat="1" ht="15" customHeight="1">
      <c r="A25" s="297"/>
      <c r="B25" s="519" t="s">
        <v>1765</v>
      </c>
      <c r="C25" s="297"/>
      <c r="F25" s="602"/>
      <c r="H25" s="602"/>
      <c r="P25" s="603"/>
      <c r="AK25" s="297"/>
    </row>
    <row r="26" spans="1:37" s="501" customFormat="1" ht="15" customHeight="1">
      <c r="A26" s="297"/>
      <c r="B26" s="519" t="s">
        <v>1764</v>
      </c>
      <c r="C26" s="297"/>
      <c r="F26" s="602"/>
      <c r="H26" s="602"/>
      <c r="P26" s="603"/>
      <c r="AK26" s="297"/>
    </row>
    <row r="27" spans="1:37" s="501" customFormat="1" ht="15" customHeight="1">
      <c r="A27" s="297"/>
      <c r="B27" s="519" t="s">
        <v>2106</v>
      </c>
      <c r="C27" s="297"/>
      <c r="F27" s="602"/>
      <c r="H27" s="602"/>
      <c r="P27" s="603"/>
      <c r="AK27" s="297"/>
    </row>
    <row r="28" spans="1:37" s="501" customFormat="1" ht="15" customHeight="1">
      <c r="A28" s="297"/>
      <c r="B28" s="554" t="s">
        <v>1761</v>
      </c>
      <c r="C28" s="296"/>
      <c r="F28" s="602"/>
      <c r="H28" s="602"/>
      <c r="P28" s="603"/>
      <c r="AK28" s="297"/>
    </row>
    <row r="29" spans="1:37" s="501" customFormat="1" ht="15" customHeight="1">
      <c r="A29" s="297"/>
      <c r="B29" s="519" t="s">
        <v>2107</v>
      </c>
      <c r="C29" s="297"/>
      <c r="F29" s="602"/>
      <c r="H29" s="602"/>
      <c r="P29" s="603"/>
      <c r="AK29" s="297"/>
    </row>
    <row r="30" spans="1:37" s="501" customFormat="1" ht="15" customHeight="1">
      <c r="A30" s="297"/>
      <c r="B30" s="519" t="s">
        <v>1766</v>
      </c>
      <c r="C30" s="297"/>
      <c r="F30" s="602"/>
      <c r="H30" s="602"/>
      <c r="P30" s="603"/>
      <c r="AK30" s="297"/>
    </row>
    <row r="31" spans="1:37" s="501" customFormat="1" ht="15" customHeight="1">
      <c r="A31" s="297"/>
      <c r="B31" s="519" t="s">
        <v>1668</v>
      </c>
      <c r="C31" s="297"/>
      <c r="F31" s="602"/>
      <c r="H31" s="602"/>
      <c r="P31" s="603"/>
      <c r="AK31" s="297"/>
    </row>
    <row r="32" spans="1:37" s="501" customFormat="1" ht="15" customHeight="1">
      <c r="A32" s="297"/>
      <c r="B32" s="519" t="s">
        <v>1767</v>
      </c>
      <c r="C32" s="297"/>
      <c r="F32" s="602"/>
      <c r="H32" s="602"/>
      <c r="P32" s="603"/>
      <c r="AK32" s="297"/>
    </row>
    <row r="33" spans="1:53" s="501" customFormat="1" ht="15" customHeight="1">
      <c r="A33" s="297"/>
      <c r="B33" s="519" t="s">
        <v>2108</v>
      </c>
      <c r="C33" s="297"/>
      <c r="F33" s="602"/>
      <c r="H33" s="602"/>
      <c r="P33" s="603"/>
      <c r="AK33" s="297"/>
    </row>
    <row r="34" spans="1:53" s="501" customFormat="1" ht="15" customHeight="1">
      <c r="A34" s="297"/>
      <c r="B34" s="519" t="s">
        <v>1768</v>
      </c>
      <c r="C34" s="297"/>
      <c r="F34" s="602"/>
      <c r="H34" s="602"/>
      <c r="P34" s="603"/>
      <c r="AK34" s="297"/>
    </row>
    <row r="35" spans="1:53" s="501" customFormat="1" ht="15" customHeight="1">
      <c r="A35" s="297"/>
      <c r="B35" s="519"/>
      <c r="C35" s="297"/>
      <c r="F35" s="602"/>
      <c r="H35" s="602"/>
      <c r="P35" s="603"/>
      <c r="AK35" s="297"/>
    </row>
    <row r="36" spans="1:53" s="501" customFormat="1" ht="15" customHeight="1">
      <c r="A36" s="297"/>
      <c r="B36" s="519" t="s">
        <v>2109</v>
      </c>
      <c r="C36" s="297"/>
      <c r="F36" s="602"/>
      <c r="H36" s="602"/>
      <c r="P36" s="603"/>
      <c r="AK36" s="297"/>
    </row>
    <row r="37" spans="1:53" s="501" customFormat="1" ht="15" customHeight="1">
      <c r="A37" s="297"/>
      <c r="B37" s="519" t="s">
        <v>1769</v>
      </c>
      <c r="C37" s="297"/>
      <c r="F37" s="602"/>
      <c r="H37" s="602"/>
      <c r="P37" s="603"/>
      <c r="AK37" s="297"/>
    </row>
    <row r="38" spans="1:53" s="501" customFormat="1" ht="15" customHeight="1">
      <c r="A38" s="297"/>
      <c r="B38" s="519"/>
      <c r="C38" s="297"/>
      <c r="F38" s="602"/>
      <c r="H38" s="602"/>
      <c r="P38" s="603"/>
      <c r="AK38" s="297"/>
    </row>
    <row r="39" spans="1:53" s="396" customFormat="1" ht="15" customHeight="1">
      <c r="A39" s="302"/>
      <c r="B39" s="523" t="s">
        <v>1746</v>
      </c>
      <c r="C39" s="584"/>
      <c r="D39" s="615"/>
      <c r="E39" s="615"/>
      <c r="F39" s="615"/>
      <c r="G39" s="615"/>
      <c r="H39" s="615"/>
      <c r="I39" s="615"/>
      <c r="J39" s="615"/>
      <c r="K39" s="615"/>
      <c r="L39" s="615"/>
      <c r="M39" s="615"/>
      <c r="N39" s="615"/>
      <c r="O39" s="615"/>
      <c r="P39" s="525"/>
      <c r="Q39" s="297"/>
      <c r="AK39" s="297"/>
    </row>
    <row r="40" spans="1:53" s="396" customFormat="1" ht="15" customHeight="1" thickBot="1">
      <c r="A40" s="302"/>
      <c r="B40" s="297"/>
      <c r="C40" s="297"/>
      <c r="D40" s="394"/>
      <c r="E40" s="394"/>
      <c r="F40" s="616"/>
      <c r="G40" s="394"/>
      <c r="H40" s="616"/>
      <c r="I40" s="394"/>
      <c r="J40" s="394"/>
      <c r="K40" s="394"/>
      <c r="L40" s="394"/>
      <c r="M40" s="394"/>
      <c r="P40" s="297"/>
      <c r="Q40" s="297"/>
      <c r="AK40" s="297"/>
    </row>
    <row r="41" spans="1:53" s="396" customFormat="1" ht="15" customHeight="1" thickTop="1" thickBot="1">
      <c r="A41" s="302"/>
      <c r="B41" s="502" t="s">
        <v>55</v>
      </c>
      <c r="C41" s="526">
        <f>Organisatsioon!B23</f>
        <v>2021</v>
      </c>
      <c r="E41" s="394"/>
      <c r="F41" s="616"/>
      <c r="G41" s="394"/>
      <c r="H41" s="616"/>
      <c r="I41" s="394"/>
      <c r="J41" s="394"/>
      <c r="K41" s="394"/>
      <c r="L41" s="394"/>
      <c r="M41" s="394"/>
      <c r="P41" s="297"/>
      <c r="Q41" s="297"/>
      <c r="T41" s="502" t="s">
        <v>55</v>
      </c>
      <c r="U41" s="526">
        <f>Organisatsioon!B24</f>
        <v>2022</v>
      </c>
      <c r="W41" s="394"/>
      <c r="X41" s="616"/>
      <c r="Y41" s="394"/>
      <c r="Z41" s="616"/>
      <c r="AA41" s="394"/>
      <c r="AB41" s="394"/>
      <c r="AC41" s="394"/>
      <c r="AD41" s="394"/>
      <c r="AE41" s="394"/>
      <c r="AH41" s="297"/>
      <c r="AI41" s="297"/>
      <c r="AK41" s="297"/>
      <c r="AL41" s="502" t="s">
        <v>55</v>
      </c>
      <c r="AM41" s="526">
        <f>Organisatsioon!B25</f>
        <v>2023</v>
      </c>
      <c r="AO41" s="394"/>
      <c r="AP41" s="616"/>
      <c r="AQ41" s="394"/>
      <c r="AR41" s="616"/>
      <c r="AS41" s="394"/>
      <c r="AT41" s="394"/>
      <c r="AU41" s="394"/>
      <c r="AV41" s="394"/>
      <c r="AW41" s="394"/>
      <c r="AZ41" s="297"/>
      <c r="BA41" s="297"/>
    </row>
    <row r="42" spans="1:53" s="501" customFormat="1" ht="15" customHeight="1" thickTop="1">
      <c r="A42" s="302"/>
      <c r="F42" s="602"/>
      <c r="H42" s="602"/>
      <c r="M42" s="297"/>
      <c r="N42" s="297"/>
      <c r="X42" s="602"/>
      <c r="Z42" s="602"/>
      <c r="AE42" s="297"/>
      <c r="AF42" s="297"/>
      <c r="AK42" s="297"/>
      <c r="AP42" s="602"/>
      <c r="AR42" s="602"/>
      <c r="AW42" s="297"/>
      <c r="AX42" s="297"/>
    </row>
    <row r="43" spans="1:53" s="302" customFormat="1" ht="15" customHeight="1">
      <c r="B43" s="308" t="s">
        <v>1618</v>
      </c>
      <c r="C43" s="543"/>
      <c r="D43" s="543"/>
      <c r="E43" s="617"/>
      <c r="F43" s="543"/>
      <c r="G43" s="543"/>
      <c r="H43" s="543"/>
      <c r="I43" s="543"/>
      <c r="J43" s="543"/>
      <c r="K43" s="543"/>
      <c r="L43" s="543"/>
      <c r="M43" s="543"/>
      <c r="N43" s="543"/>
      <c r="O43" s="543"/>
      <c r="P43" s="544"/>
      <c r="T43" s="308" t="s">
        <v>1618</v>
      </c>
      <c r="U43" s="543"/>
      <c r="V43" s="543"/>
      <c r="W43" s="617"/>
      <c r="X43" s="543"/>
      <c r="Y43" s="543"/>
      <c r="Z43" s="543"/>
      <c r="AA43" s="543"/>
      <c r="AB43" s="543"/>
      <c r="AC43" s="543"/>
      <c r="AD43" s="543"/>
      <c r="AE43" s="543"/>
      <c r="AF43" s="543"/>
      <c r="AG43" s="543"/>
      <c r="AH43" s="544"/>
      <c r="AK43" s="297"/>
      <c r="AL43" s="308" t="s">
        <v>1618</v>
      </c>
      <c r="AM43" s="543"/>
      <c r="AN43" s="543"/>
      <c r="AO43" s="617"/>
      <c r="AP43" s="543"/>
      <c r="AQ43" s="543"/>
      <c r="AR43" s="543"/>
      <c r="AS43" s="543"/>
      <c r="AT43" s="543"/>
      <c r="AU43" s="543"/>
      <c r="AV43" s="543"/>
      <c r="AW43" s="543"/>
      <c r="AX43" s="543"/>
      <c r="AY43" s="543"/>
      <c r="AZ43" s="544"/>
    </row>
    <row r="44" spans="1:53" s="302" customFormat="1" ht="15" customHeight="1">
      <c r="B44" s="308" t="s">
        <v>1617</v>
      </c>
      <c r="C44" s="543"/>
      <c r="D44" s="543"/>
      <c r="E44" s="617"/>
      <c r="F44" s="543"/>
      <c r="G44" s="543"/>
      <c r="H44" s="543"/>
      <c r="I44" s="543"/>
      <c r="J44" s="543"/>
      <c r="K44" s="543"/>
      <c r="L44" s="543"/>
      <c r="M44" s="543"/>
      <c r="N44" s="543"/>
      <c r="O44" s="543"/>
      <c r="P44" s="544"/>
      <c r="T44" s="308" t="s">
        <v>1617</v>
      </c>
      <c r="U44" s="543"/>
      <c r="V44" s="543"/>
      <c r="W44" s="617"/>
      <c r="X44" s="543"/>
      <c r="Y44" s="543"/>
      <c r="Z44" s="543"/>
      <c r="AA44" s="543"/>
      <c r="AB44" s="543"/>
      <c r="AC44" s="543"/>
      <c r="AD44" s="543"/>
      <c r="AE44" s="543"/>
      <c r="AF44" s="543"/>
      <c r="AG44" s="543"/>
      <c r="AH44" s="544"/>
      <c r="AK44" s="297"/>
      <c r="AL44" s="308" t="s">
        <v>1617</v>
      </c>
      <c r="AM44" s="543"/>
      <c r="AN44" s="543"/>
      <c r="AO44" s="617"/>
      <c r="AP44" s="543"/>
      <c r="AQ44" s="543"/>
      <c r="AR44" s="543"/>
      <c r="AS44" s="543"/>
      <c r="AT44" s="543"/>
      <c r="AU44" s="543"/>
      <c r="AV44" s="543"/>
      <c r="AW44" s="543"/>
      <c r="AX44" s="543"/>
      <c r="AY44" s="543"/>
      <c r="AZ44" s="544"/>
    </row>
    <row r="45" spans="1:53" ht="15" customHeight="1">
      <c r="A45" s="297"/>
      <c r="B45" s="925" t="s">
        <v>57</v>
      </c>
      <c r="C45" s="908" t="s">
        <v>1531</v>
      </c>
      <c r="D45" s="909"/>
      <c r="E45" s="925" t="s">
        <v>111</v>
      </c>
      <c r="F45" s="914" t="s">
        <v>107</v>
      </c>
      <c r="G45" s="914" t="s">
        <v>1597</v>
      </c>
      <c r="H45" s="914" t="s">
        <v>68</v>
      </c>
      <c r="I45" s="914" t="s">
        <v>69</v>
      </c>
      <c r="J45" s="914" t="s">
        <v>70</v>
      </c>
      <c r="K45" s="925" t="s">
        <v>81</v>
      </c>
      <c r="L45" s="908" t="s">
        <v>71</v>
      </c>
      <c r="M45" s="941"/>
      <c r="N45" s="909"/>
      <c r="O45" s="916" t="s">
        <v>86</v>
      </c>
      <c r="P45" s="917"/>
      <c r="T45" s="925" t="s">
        <v>57</v>
      </c>
      <c r="U45" s="908" t="s">
        <v>1531</v>
      </c>
      <c r="V45" s="909"/>
      <c r="W45" s="914" t="s">
        <v>106</v>
      </c>
      <c r="X45" s="914" t="s">
        <v>107</v>
      </c>
      <c r="Y45" s="914" t="s">
        <v>1597</v>
      </c>
      <c r="Z45" s="914" t="s">
        <v>68</v>
      </c>
      <c r="AA45" s="914" t="s">
        <v>69</v>
      </c>
      <c r="AB45" s="914" t="s">
        <v>70</v>
      </c>
      <c r="AC45" s="925" t="s">
        <v>81</v>
      </c>
      <c r="AD45" s="908" t="s">
        <v>71</v>
      </c>
      <c r="AE45" s="941"/>
      <c r="AF45" s="909"/>
      <c r="AG45" s="916" t="s">
        <v>86</v>
      </c>
      <c r="AH45" s="917"/>
      <c r="AL45" s="925" t="s">
        <v>57</v>
      </c>
      <c r="AM45" s="908" t="s">
        <v>1531</v>
      </c>
      <c r="AN45" s="909"/>
      <c r="AO45" s="914" t="s">
        <v>106</v>
      </c>
      <c r="AP45" s="914" t="s">
        <v>107</v>
      </c>
      <c r="AQ45" s="914" t="s">
        <v>1597</v>
      </c>
      <c r="AR45" s="914" t="s">
        <v>68</v>
      </c>
      <c r="AS45" s="914" t="s">
        <v>69</v>
      </c>
      <c r="AT45" s="914" t="s">
        <v>70</v>
      </c>
      <c r="AU45" s="925" t="s">
        <v>81</v>
      </c>
      <c r="AV45" s="908" t="s">
        <v>71</v>
      </c>
      <c r="AW45" s="941"/>
      <c r="AX45" s="909"/>
      <c r="AY45" s="916" t="s">
        <v>86</v>
      </c>
      <c r="AZ45" s="917"/>
    </row>
    <row r="46" spans="1:53" ht="15" customHeight="1">
      <c r="A46" s="297"/>
      <c r="B46" s="926"/>
      <c r="C46" s="928"/>
      <c r="D46" s="929"/>
      <c r="E46" s="926"/>
      <c r="F46" s="915"/>
      <c r="G46" s="915"/>
      <c r="H46" s="915"/>
      <c r="I46" s="915"/>
      <c r="J46" s="915"/>
      <c r="K46" s="926"/>
      <c r="L46" s="928"/>
      <c r="M46" s="942"/>
      <c r="N46" s="929"/>
      <c r="O46" s="918"/>
      <c r="P46" s="919"/>
      <c r="T46" s="926"/>
      <c r="U46" s="928"/>
      <c r="V46" s="929"/>
      <c r="W46" s="915"/>
      <c r="X46" s="915"/>
      <c r="Y46" s="915"/>
      <c r="Z46" s="915"/>
      <c r="AA46" s="915"/>
      <c r="AB46" s="915"/>
      <c r="AC46" s="926"/>
      <c r="AD46" s="928"/>
      <c r="AE46" s="942"/>
      <c r="AF46" s="929"/>
      <c r="AG46" s="918"/>
      <c r="AH46" s="919"/>
      <c r="AL46" s="926"/>
      <c r="AM46" s="928"/>
      <c r="AN46" s="929"/>
      <c r="AO46" s="915"/>
      <c r="AP46" s="915"/>
      <c r="AQ46" s="915"/>
      <c r="AR46" s="915"/>
      <c r="AS46" s="915"/>
      <c r="AT46" s="915"/>
      <c r="AU46" s="926"/>
      <c r="AV46" s="928"/>
      <c r="AW46" s="942"/>
      <c r="AX46" s="929"/>
      <c r="AY46" s="918"/>
      <c r="AZ46" s="919"/>
    </row>
    <row r="47" spans="1:53" ht="15" customHeight="1">
      <c r="A47" s="297"/>
      <c r="B47" s="926"/>
      <c r="C47" s="928"/>
      <c r="D47" s="929"/>
      <c r="E47" s="926"/>
      <c r="F47" s="915"/>
      <c r="G47" s="915"/>
      <c r="H47" s="922"/>
      <c r="I47" s="915"/>
      <c r="J47" s="915"/>
      <c r="K47" s="926"/>
      <c r="L47" s="928"/>
      <c r="M47" s="942"/>
      <c r="N47" s="929"/>
      <c r="O47" s="920"/>
      <c r="P47" s="921"/>
      <c r="T47" s="926"/>
      <c r="U47" s="928"/>
      <c r="V47" s="929"/>
      <c r="W47" s="915"/>
      <c r="X47" s="915"/>
      <c r="Y47" s="915"/>
      <c r="Z47" s="922"/>
      <c r="AA47" s="915"/>
      <c r="AB47" s="915"/>
      <c r="AC47" s="926"/>
      <c r="AD47" s="928"/>
      <c r="AE47" s="942"/>
      <c r="AF47" s="929"/>
      <c r="AG47" s="920"/>
      <c r="AH47" s="921"/>
      <c r="AL47" s="926"/>
      <c r="AM47" s="928"/>
      <c r="AN47" s="929"/>
      <c r="AO47" s="915"/>
      <c r="AP47" s="915"/>
      <c r="AQ47" s="915"/>
      <c r="AR47" s="922"/>
      <c r="AS47" s="915"/>
      <c r="AT47" s="915"/>
      <c r="AU47" s="926"/>
      <c r="AV47" s="928"/>
      <c r="AW47" s="942"/>
      <c r="AX47" s="929"/>
      <c r="AY47" s="920"/>
      <c r="AZ47" s="921"/>
    </row>
    <row r="48" spans="1:53" s="365" customFormat="1" ht="15" customHeight="1">
      <c r="A48" s="297"/>
      <c r="B48" s="927"/>
      <c r="C48" s="910"/>
      <c r="D48" s="911"/>
      <c r="E48" s="927"/>
      <c r="F48" s="922"/>
      <c r="G48" s="922"/>
      <c r="H48" s="571" t="s">
        <v>73</v>
      </c>
      <c r="I48" s="922"/>
      <c r="J48" s="922"/>
      <c r="K48" s="927"/>
      <c r="L48" s="910"/>
      <c r="M48" s="943"/>
      <c r="N48" s="911"/>
      <c r="O48" s="545" t="s">
        <v>2085</v>
      </c>
      <c r="P48" s="545" t="s">
        <v>2086</v>
      </c>
      <c r="T48" s="927"/>
      <c r="U48" s="910"/>
      <c r="V48" s="911"/>
      <c r="W48" s="922"/>
      <c r="X48" s="922"/>
      <c r="Y48" s="922"/>
      <c r="Z48" s="571" t="s">
        <v>73</v>
      </c>
      <c r="AA48" s="922"/>
      <c r="AB48" s="922"/>
      <c r="AC48" s="927"/>
      <c r="AD48" s="910"/>
      <c r="AE48" s="943"/>
      <c r="AF48" s="911"/>
      <c r="AG48" s="545" t="s">
        <v>2085</v>
      </c>
      <c r="AH48" s="545" t="s">
        <v>2086</v>
      </c>
      <c r="AK48" s="297"/>
      <c r="AL48" s="927"/>
      <c r="AM48" s="910"/>
      <c r="AN48" s="911"/>
      <c r="AO48" s="922"/>
      <c r="AP48" s="922"/>
      <c r="AQ48" s="922"/>
      <c r="AR48" s="571" t="s">
        <v>73</v>
      </c>
      <c r="AS48" s="922"/>
      <c r="AT48" s="922"/>
      <c r="AU48" s="927"/>
      <c r="AV48" s="910"/>
      <c r="AW48" s="943"/>
      <c r="AX48" s="911"/>
      <c r="AY48" s="545" t="s">
        <v>2085</v>
      </c>
      <c r="AZ48" s="545" t="s">
        <v>2086</v>
      </c>
    </row>
    <row r="49" spans="1:53" ht="15" customHeight="1">
      <c r="A49" s="297"/>
      <c r="B49" s="618">
        <v>1</v>
      </c>
      <c r="C49" s="923" t="s">
        <v>1528</v>
      </c>
      <c r="D49" s="924"/>
      <c r="E49" s="619">
        <v>500</v>
      </c>
      <c r="F49" s="588"/>
      <c r="G49" s="620">
        <f>IF(ISBLANK(F49),E49,F49*E49)</f>
        <v>500</v>
      </c>
      <c r="H49" s="777" t="s">
        <v>75</v>
      </c>
      <c r="I49" s="621">
        <f>IF(H49="Jah",LOOKUP(C49,'HT-Transport (M3)'!$B$5:$B$18,'HT-Transport (M3)'!$C$5:$C$18),IF(H49="Ei","x "))</f>
        <v>1.1544912347397853E-2</v>
      </c>
      <c r="J49" s="547"/>
      <c r="K49" s="289" t="str">
        <f>IF(ISBLANK(C49),"",IF(RIGHT(C49,7)="tonn-km","kg CO₂ ekv/tonn-km","kg CO₂ ekv/km"))</f>
        <v>kg CO₂ ekv/km</v>
      </c>
      <c r="L49" s="949" t="str">
        <f>IF(H49="Jah", LOOKUP(C49,'HT-Transport (M3)'!$B$5:$B$18,'HT-Transport (M3)'!$E$5:$E$18),IF(H49= "Ei", " "))</f>
        <v>KHG inventuuri aruanne 2022</v>
      </c>
      <c r="M49" s="950"/>
      <c r="N49" s="951"/>
      <c r="O49" s="549">
        <f>IF(H49="Jah",G49*I49, IF(H49="Ei",G49*J49))</f>
        <v>5.7724561736989264</v>
      </c>
      <c r="P49" s="549">
        <f>O49*0.001</f>
        <v>5.7724561736989264E-3</v>
      </c>
      <c r="T49" s="618">
        <v>1</v>
      </c>
      <c r="U49" s="923" t="s">
        <v>1520</v>
      </c>
      <c r="V49" s="924"/>
      <c r="W49" s="619">
        <v>50000</v>
      </c>
      <c r="X49" s="588"/>
      <c r="Y49" s="620">
        <f>IF(ISBLANK(X49),W49,X49*W49)</f>
        <v>50000</v>
      </c>
      <c r="Z49" s="572" t="s">
        <v>75</v>
      </c>
      <c r="AA49" s="621">
        <f>IF(Z49="Jah",LOOKUP(U49,'HT-Transport (M3)'!$B$5:$B$18,'HT-Transport (M3)'!$C$5:$C$18),IF(Z49="Ei","x "))</f>
        <v>0.23108569800628181</v>
      </c>
      <c r="AB49" s="547"/>
      <c r="AC49" s="289" t="str">
        <f>IF(ISBLANK(U49),"",IF(RIGHT(U49,7)="tonn-km","kg CO₂ ekv/tonn-km","kg CO₂ ekv/km"))</f>
        <v>kg CO₂ ekv/km</v>
      </c>
      <c r="AD49" s="949" t="str">
        <f>IF(Z49="Jah", LOOKUP(U49,'HT-Transport (M3)'!$B$5:$B$18,'HT-Transport (M3)'!$E$5:$E$18),IF(Z49= "Ei", " "))</f>
        <v>KHG inventuuri aruanne 2022</v>
      </c>
      <c r="AE49" s="950"/>
      <c r="AF49" s="951"/>
      <c r="AG49" s="549">
        <f>IF(Z49="Jah",Y49*AA49, IF(Z49="Ei",Y49*AB49))</f>
        <v>11554.284900314091</v>
      </c>
      <c r="AH49" s="549">
        <f>AG49*0.001</f>
        <v>11.554284900314091</v>
      </c>
      <c r="AL49" s="618"/>
      <c r="AM49" s="923"/>
      <c r="AN49" s="924"/>
      <c r="AO49" s="619"/>
      <c r="AP49" s="588"/>
      <c r="AQ49" s="620">
        <f>IF(ISBLANK(AP49),AO49,AP49*AO49)</f>
        <v>0</v>
      </c>
      <c r="AR49" s="572" t="s">
        <v>75</v>
      </c>
      <c r="AS49" s="621" t="e">
        <f>IF(AR49="Jah",LOOKUP(AM49,'HT-Transport (M3)'!$B$5:$B$18,'HT-Transport (M3)'!$C$5:$C$18),IF(AR49="Ei","x "))</f>
        <v>#N/A</v>
      </c>
      <c r="AT49" s="547"/>
      <c r="AU49" s="289" t="str">
        <f>IF(ISBLANK(AM49),"",IF(RIGHT(AM49,7)="tonn-km","kg CO₂ ekv/tonn-km","kg CO₂ ekv/km"))</f>
        <v/>
      </c>
      <c r="AV49" s="949" t="e">
        <f>IF(AR49="Jah", LOOKUP(AM49,'HT-Transport (M3)'!$B$5:$B$18,'HT-Transport (M3)'!$E$5:$E$18),IF(AR49= "Ei", " "))</f>
        <v>#N/A</v>
      </c>
      <c r="AW49" s="950"/>
      <c r="AX49" s="951"/>
      <c r="AY49" s="549" t="e">
        <f>IF(AR49="Jah",AQ49*AS49, IF(AR49="Ei",AQ49*AT49))</f>
        <v>#N/A</v>
      </c>
      <c r="AZ49" s="549" t="e">
        <f>AY49*0.001</f>
        <v>#N/A</v>
      </c>
    </row>
    <row r="50" spans="1:53" ht="15" customHeight="1">
      <c r="A50" s="297"/>
      <c r="B50" s="618">
        <v>1</v>
      </c>
      <c r="C50" s="923" t="s">
        <v>1640</v>
      </c>
      <c r="D50" s="924"/>
      <c r="E50" s="619">
        <v>1000</v>
      </c>
      <c r="F50" s="588"/>
      <c r="G50" s="620">
        <f t="shared" ref="G50:G58" si="0">IF(ISBLANK(F50),E50,F50*E50)</f>
        <v>1000</v>
      </c>
      <c r="H50" s="572" t="s">
        <v>75</v>
      </c>
      <c r="I50" s="621">
        <f>IF(H50="Jah",LOOKUP(C50,'HT-Transport (M3)'!$B$5:$B$18,'HT-Transport (M3)'!$C$5:$C$18),IF(H50="Ei","x "))</f>
        <v>0.21601905219916823</v>
      </c>
      <c r="J50" s="547"/>
      <c r="K50" s="289" t="str">
        <f t="shared" ref="K50:K58" si="1">IF(ISBLANK(C50),"",IF(RIGHT(C50,7)="tonn-km","kg CO₂ ekv/tonn-km","kg CO₂ ekv/km"))</f>
        <v>kg CO₂ ekv/km</v>
      </c>
      <c r="L50" s="949" t="str">
        <f>IF(H50="Jah", LOOKUP(C50,'HT-Transport (M3)'!$B$5:$B$18,'HT-Transport (M3)'!$E$5:$E$18),IF(H50= "Ei", " "))</f>
        <v>Bensiini ja diisli kaalutud keskmine eriheitetegur km kohta</v>
      </c>
      <c r="M50" s="950"/>
      <c r="N50" s="951"/>
      <c r="O50" s="549">
        <f>IF(H50="Jah",G50*I50, IF(H50="Ei",G50*J50))</f>
        <v>216.01905219916821</v>
      </c>
      <c r="P50" s="549">
        <f t="shared" ref="P50:P58" si="2">O50*0.001</f>
        <v>0.21601905219916823</v>
      </c>
      <c r="T50" s="618"/>
      <c r="U50" s="923"/>
      <c r="V50" s="924"/>
      <c r="W50" s="619"/>
      <c r="X50" s="588"/>
      <c r="Y50" s="620">
        <f t="shared" ref="Y50:Y58" si="3">IF(ISBLANK(X50),W50,X50*W50)</f>
        <v>0</v>
      </c>
      <c r="Z50" s="572" t="s">
        <v>75</v>
      </c>
      <c r="AA50" s="621" t="e">
        <f>IF(Z50="Jah",LOOKUP(U50,'HT-Transport (M3)'!$B$5:$B$18,'HT-Transport (M3)'!$C$5:$C$18),IF(Z50="Ei","x "))</f>
        <v>#N/A</v>
      </c>
      <c r="AB50" s="547"/>
      <c r="AC50" s="289" t="str">
        <f t="shared" ref="AC50" si="4">IF(ISBLANK(U50),"",IF(RIGHT(U50,7)="tonn-km","kg CO₂ ekv/tonn-km","kg CO₂ ekv/km"))</f>
        <v/>
      </c>
      <c r="AD50" s="949" t="e">
        <f>IF(Z50="Jah", LOOKUP(U50,'HT-Transport (M3)'!$B$5:$B$18,'HT-Transport (M3)'!$E$5:$E$18),IF(Z50= "Ei", " "))</f>
        <v>#N/A</v>
      </c>
      <c r="AE50" s="950"/>
      <c r="AF50" s="951"/>
      <c r="AG50" s="549" t="e">
        <f>IF(Z50="Jah",Y50*AA50, IF(Z50="Ei",Y50*AB50))</f>
        <v>#N/A</v>
      </c>
      <c r="AH50" s="549" t="e">
        <f t="shared" ref="AH50:AH58" si="5">AG50*0.001</f>
        <v>#N/A</v>
      </c>
      <c r="AL50" s="618"/>
      <c r="AM50" s="923"/>
      <c r="AN50" s="924"/>
      <c r="AO50" s="619"/>
      <c r="AP50" s="588"/>
      <c r="AQ50" s="620">
        <f t="shared" ref="AQ50:AQ58" si="6">IF(ISBLANK(AP50),AO50,AP50*AO50)</f>
        <v>0</v>
      </c>
      <c r="AR50" s="572" t="s">
        <v>75</v>
      </c>
      <c r="AS50" s="621" t="e">
        <f>IF(AR50="Jah",LOOKUP(AM50,'HT-Transport (M3)'!$B$5:$B$18,'HT-Transport (M3)'!$C$5:$C$18),IF(AR50="Ei","x "))</f>
        <v>#N/A</v>
      </c>
      <c r="AT50" s="547"/>
      <c r="AU50" s="289" t="str">
        <f t="shared" ref="AU50" si="7">IF(ISBLANK(AM50),"",IF(RIGHT(AM50,7)="tonn-km","kg CO₂ ekv/tonn-km","kg CO₂ ekv/km"))</f>
        <v/>
      </c>
      <c r="AV50" s="949" t="e">
        <f>IF(AR50="Jah", LOOKUP(AM50,'HT-Transport (M3)'!$B$5:$B$18,'HT-Transport (M3)'!$E$5:$E$18),IF(AR50= "Ei", " "))</f>
        <v>#N/A</v>
      </c>
      <c r="AW50" s="950"/>
      <c r="AX50" s="951"/>
      <c r="AY50" s="549" t="e">
        <f>IF(AR50="Jah",AQ50*AS50, IF(AR50="Ei",AQ50*AT50))</f>
        <v>#N/A</v>
      </c>
      <c r="AZ50" s="549" t="e">
        <f t="shared" ref="AZ50:AZ58" si="8">AY50*0.001</f>
        <v>#N/A</v>
      </c>
    </row>
    <row r="51" spans="1:53" ht="15" customHeight="1">
      <c r="B51" s="618">
        <v>1</v>
      </c>
      <c r="C51" s="923" t="s">
        <v>1521</v>
      </c>
      <c r="D51" s="924"/>
      <c r="E51" s="619">
        <v>52</v>
      </c>
      <c r="F51" s="588">
        <v>50</v>
      </c>
      <c r="G51" s="620">
        <f t="shared" si="0"/>
        <v>2600</v>
      </c>
      <c r="H51" s="572" t="s">
        <v>75</v>
      </c>
      <c r="I51" s="621">
        <f>IF(H51="Jah",LOOKUP(C51,'HT-Transport (M3)'!$B$5:$B$18,'HT-Transport (M3)'!$C$5:$C$18),IF(H51="Ei","x "))</f>
        <v>0.17901918515291784</v>
      </c>
      <c r="J51" s="547"/>
      <c r="K51" s="289" t="str">
        <f>IF(ISBLANK(C51),"",IF(RIGHT(C51,7)="tonn-km","kg CO₂ ekv/tonn-km","kg CO₂ ekv/km"))</f>
        <v>kg CO₂ ekv/tonn-km</v>
      </c>
      <c r="L51" s="949" t="str">
        <f>IF(H51="Jah", LOOKUP(C51,'HT-Transport (M3)'!$B$5:$B$18,'HT-Transport (M3)'!$E$5:$E$18),IF(H51= "Ei", " "))</f>
        <v>Arvestuslik keskmine koormakaal 1,2 t (LIPASTO arvutusvalem)</v>
      </c>
      <c r="M51" s="950"/>
      <c r="N51" s="951"/>
      <c r="O51" s="549">
        <f t="shared" ref="O51:O58" si="9">IF(H51="Jah",G51*I51, IF(H51="Ei",G51*J51))</f>
        <v>465.44988139758641</v>
      </c>
      <c r="P51" s="549">
        <f t="shared" si="2"/>
        <v>0.46544988139758642</v>
      </c>
      <c r="T51" s="618"/>
      <c r="U51" s="923"/>
      <c r="V51" s="924"/>
      <c r="W51" s="619"/>
      <c r="X51" s="588"/>
      <c r="Y51" s="620">
        <f t="shared" si="3"/>
        <v>0</v>
      </c>
      <c r="Z51" s="572" t="s">
        <v>75</v>
      </c>
      <c r="AA51" s="621" t="e">
        <f>IF(Z51="Jah",LOOKUP(U51,'HT-Transport (M3)'!$B$5:$B$18,'HT-Transport (M3)'!$C$5:$C$18),IF(Z51="Ei","x "))</f>
        <v>#N/A</v>
      </c>
      <c r="AB51" s="547"/>
      <c r="AC51" s="289" t="str">
        <f>IF(ISBLANK(U51),"",IF(RIGHT(U51,7)="tonn-km","kg CO₂ ekv/tonn-km","kg CO₂ ekv/km"))</f>
        <v/>
      </c>
      <c r="AD51" s="949" t="e">
        <f>IF(Z51="Jah", LOOKUP(U51,'HT-Transport (M3)'!$B$5:$B$18,'HT-Transport (M3)'!$E$5:$E$18),IF(Z51= "Ei", " "))</f>
        <v>#N/A</v>
      </c>
      <c r="AE51" s="950"/>
      <c r="AF51" s="951"/>
      <c r="AG51" s="549" t="e">
        <f t="shared" ref="AG51:AG58" si="10">IF(Z51="Jah",Y51*AA51, IF(Z51="Ei",Y51*AB51))</f>
        <v>#N/A</v>
      </c>
      <c r="AH51" s="549" t="e">
        <f t="shared" si="5"/>
        <v>#N/A</v>
      </c>
      <c r="AL51" s="618"/>
      <c r="AM51" s="923"/>
      <c r="AN51" s="924"/>
      <c r="AO51" s="619"/>
      <c r="AP51" s="588"/>
      <c r="AQ51" s="620">
        <f t="shared" si="6"/>
        <v>0</v>
      </c>
      <c r="AR51" s="572" t="s">
        <v>75</v>
      </c>
      <c r="AS51" s="621" t="e">
        <f>IF(AR51="Jah",LOOKUP(AM51,'HT-Transport (M3)'!$B$5:$B$18,'HT-Transport (M3)'!$C$5:$C$18),IF(AR51="Ei","x "))</f>
        <v>#N/A</v>
      </c>
      <c r="AT51" s="547"/>
      <c r="AU51" s="289" t="str">
        <f>IF(ISBLANK(AM51),"",IF(RIGHT(AM51,7)="tonn-km","kg CO₂ ekv/tonn-km","kg CO₂ ekv/km"))</f>
        <v/>
      </c>
      <c r="AV51" s="949" t="e">
        <f>IF(AR51="Jah", LOOKUP(AM51,'HT-Transport (M3)'!$B$5:$B$18,'HT-Transport (M3)'!$E$5:$E$18),IF(AR51= "Ei", " "))</f>
        <v>#N/A</v>
      </c>
      <c r="AW51" s="950"/>
      <c r="AX51" s="951"/>
      <c r="AY51" s="549" t="e">
        <f t="shared" ref="AY51:AY58" si="11">IF(AR51="Jah",AQ51*AS51, IF(AR51="Ei",AQ51*AT51))</f>
        <v>#N/A</v>
      </c>
      <c r="AZ51" s="549" t="e">
        <f t="shared" si="8"/>
        <v>#N/A</v>
      </c>
    </row>
    <row r="52" spans="1:53" ht="15" customHeight="1">
      <c r="B52" s="618"/>
      <c r="C52" s="923"/>
      <c r="D52" s="924"/>
      <c r="E52" s="619"/>
      <c r="F52" s="588"/>
      <c r="G52" s="620">
        <f t="shared" si="0"/>
        <v>0</v>
      </c>
      <c r="H52" s="572" t="s">
        <v>75</v>
      </c>
      <c r="I52" s="621" t="e">
        <f>IF(H52="Jah",LOOKUP(C52,'HT-Transport (M3)'!$B$5:$B$18,'HT-Transport (M3)'!$C$5:$C$18),IF(H52="Ei","x "))</f>
        <v>#N/A</v>
      </c>
      <c r="J52" s="547"/>
      <c r="K52" s="289" t="str">
        <f t="shared" si="1"/>
        <v/>
      </c>
      <c r="L52" s="949" t="e">
        <f>IF(H52="Jah", LOOKUP(C52,'HT-Transport (M3)'!$B$5:$B$18,'HT-Transport (M3)'!$E$5:$E$18),IF(H52= "Ei", " "))</f>
        <v>#N/A</v>
      </c>
      <c r="M52" s="950"/>
      <c r="N52" s="951"/>
      <c r="O52" s="549" t="e">
        <f t="shared" si="9"/>
        <v>#N/A</v>
      </c>
      <c r="P52" s="549" t="e">
        <f t="shared" si="2"/>
        <v>#N/A</v>
      </c>
      <c r="T52" s="618"/>
      <c r="U52" s="923"/>
      <c r="V52" s="924"/>
      <c r="W52" s="619"/>
      <c r="X52" s="588"/>
      <c r="Y52" s="620">
        <f t="shared" si="3"/>
        <v>0</v>
      </c>
      <c r="Z52" s="572" t="s">
        <v>75</v>
      </c>
      <c r="AA52" s="621" t="e">
        <f>IF(Z52="Jah",LOOKUP(U52,'HT-Transport (M3)'!$B$5:$B$18,'HT-Transport (M3)'!$C$5:$C$18),IF(Z52="Ei","x "))</f>
        <v>#N/A</v>
      </c>
      <c r="AB52" s="547"/>
      <c r="AC52" s="289" t="str">
        <f t="shared" ref="AC52:AC58" si="12">IF(ISBLANK(U52),"",IF(RIGHT(U52,7)="tonn-km","kg CO₂ ekv/tonn-km","kg CO₂ ekv/km"))</f>
        <v/>
      </c>
      <c r="AD52" s="949" t="e">
        <f>IF(Z52="Jah", LOOKUP(U52,'HT-Transport (M3)'!$B$5:$B$18,'HT-Transport (M3)'!$E$5:$E$18),IF(Z52= "Ei", " "))</f>
        <v>#N/A</v>
      </c>
      <c r="AE52" s="950"/>
      <c r="AF52" s="951"/>
      <c r="AG52" s="549" t="e">
        <f t="shared" si="10"/>
        <v>#N/A</v>
      </c>
      <c r="AH52" s="549" t="e">
        <f t="shared" si="5"/>
        <v>#N/A</v>
      </c>
      <c r="AL52" s="618"/>
      <c r="AM52" s="923"/>
      <c r="AN52" s="924"/>
      <c r="AO52" s="619"/>
      <c r="AP52" s="588"/>
      <c r="AQ52" s="620">
        <f t="shared" si="6"/>
        <v>0</v>
      </c>
      <c r="AR52" s="572" t="s">
        <v>75</v>
      </c>
      <c r="AS52" s="621" t="e">
        <f>IF(AR52="Jah",LOOKUP(AM52,'HT-Transport (M3)'!$B$5:$B$18,'HT-Transport (M3)'!$C$5:$C$18),IF(AR52="Ei","x "))</f>
        <v>#N/A</v>
      </c>
      <c r="AT52" s="547"/>
      <c r="AU52" s="289" t="str">
        <f t="shared" ref="AU52:AU58" si="13">IF(ISBLANK(AM52),"",IF(RIGHT(AM52,7)="tonn-km","kg CO₂ ekv/tonn-km","kg CO₂ ekv/km"))</f>
        <v/>
      </c>
      <c r="AV52" s="949" t="e">
        <f>IF(AR52="Jah", LOOKUP(AM52,'HT-Transport (M3)'!$B$5:$B$18,'HT-Transport (M3)'!$E$5:$E$18),IF(AR52= "Ei", " "))</f>
        <v>#N/A</v>
      </c>
      <c r="AW52" s="950"/>
      <c r="AX52" s="951"/>
      <c r="AY52" s="549" t="e">
        <f t="shared" si="11"/>
        <v>#N/A</v>
      </c>
      <c r="AZ52" s="549" t="e">
        <f t="shared" si="8"/>
        <v>#N/A</v>
      </c>
    </row>
    <row r="53" spans="1:53" ht="15" customHeight="1">
      <c r="B53" s="618"/>
      <c r="C53" s="923"/>
      <c r="D53" s="924"/>
      <c r="E53" s="619"/>
      <c r="F53" s="588"/>
      <c r="G53" s="620">
        <f t="shared" si="0"/>
        <v>0</v>
      </c>
      <c r="H53" s="572" t="s">
        <v>75</v>
      </c>
      <c r="I53" s="621" t="e">
        <f>IF(H53="Jah",LOOKUP(C53,'HT-Transport (M3)'!$B$5:$B$18,'HT-Transport (M3)'!$C$5:$C$18),IF(H53="Ei","x "))</f>
        <v>#N/A</v>
      </c>
      <c r="J53" s="547"/>
      <c r="K53" s="289" t="str">
        <f t="shared" si="1"/>
        <v/>
      </c>
      <c r="L53" s="949" t="e">
        <f>IF(H53="Jah", LOOKUP(C53,'HT-Transport (M3)'!$B$5:$B$18,'HT-Transport (M3)'!$E$5:$E$18),IF(H53= "Ei", " "))</f>
        <v>#N/A</v>
      </c>
      <c r="M53" s="950"/>
      <c r="N53" s="951"/>
      <c r="O53" s="549" t="e">
        <f t="shared" si="9"/>
        <v>#N/A</v>
      </c>
      <c r="P53" s="549" t="e">
        <f t="shared" si="2"/>
        <v>#N/A</v>
      </c>
      <c r="T53" s="618"/>
      <c r="U53" s="923"/>
      <c r="V53" s="924"/>
      <c r="W53" s="619"/>
      <c r="X53" s="588"/>
      <c r="Y53" s="620">
        <f t="shared" si="3"/>
        <v>0</v>
      </c>
      <c r="Z53" s="572" t="s">
        <v>75</v>
      </c>
      <c r="AA53" s="621" t="e">
        <f>IF(Z53="Jah",LOOKUP(U53,'HT-Transport (M3)'!$B$5:$B$18,'HT-Transport (M3)'!$C$5:$C$18),IF(Z53="Ei","x "))</f>
        <v>#N/A</v>
      </c>
      <c r="AB53" s="547"/>
      <c r="AC53" s="289" t="str">
        <f t="shared" si="12"/>
        <v/>
      </c>
      <c r="AD53" s="949" t="e">
        <f>IF(Z53="Jah", LOOKUP(U53,'HT-Transport (M3)'!$B$5:$B$18,'HT-Transport (M3)'!$E$5:$E$18),IF(Z53= "Ei", " "))</f>
        <v>#N/A</v>
      </c>
      <c r="AE53" s="950"/>
      <c r="AF53" s="951"/>
      <c r="AG53" s="549" t="e">
        <f t="shared" si="10"/>
        <v>#N/A</v>
      </c>
      <c r="AH53" s="549" t="e">
        <f t="shared" si="5"/>
        <v>#N/A</v>
      </c>
      <c r="AL53" s="618"/>
      <c r="AM53" s="923"/>
      <c r="AN53" s="924"/>
      <c r="AO53" s="619"/>
      <c r="AP53" s="588"/>
      <c r="AQ53" s="620">
        <f t="shared" si="6"/>
        <v>0</v>
      </c>
      <c r="AR53" s="572" t="s">
        <v>75</v>
      </c>
      <c r="AS53" s="621" t="e">
        <f>IF(AR53="Jah",LOOKUP(AM53,'HT-Transport (M3)'!$B$5:$B$18,'HT-Transport (M3)'!$C$5:$C$18),IF(AR53="Ei","x "))</f>
        <v>#N/A</v>
      </c>
      <c r="AT53" s="547"/>
      <c r="AU53" s="289" t="str">
        <f t="shared" si="13"/>
        <v/>
      </c>
      <c r="AV53" s="949" t="e">
        <f>IF(AR53="Jah", LOOKUP(AM53,'HT-Transport (M3)'!$B$5:$B$18,'HT-Transport (M3)'!$E$5:$E$18),IF(AR53= "Ei", " "))</f>
        <v>#N/A</v>
      </c>
      <c r="AW53" s="950"/>
      <c r="AX53" s="951"/>
      <c r="AY53" s="549" t="e">
        <f t="shared" si="11"/>
        <v>#N/A</v>
      </c>
      <c r="AZ53" s="549" t="e">
        <f t="shared" si="8"/>
        <v>#N/A</v>
      </c>
    </row>
    <row r="54" spans="1:53" ht="15" customHeight="1">
      <c r="B54" s="618"/>
      <c r="C54" s="923"/>
      <c r="D54" s="924"/>
      <c r="E54" s="619"/>
      <c r="F54" s="588"/>
      <c r="G54" s="620">
        <f t="shared" si="0"/>
        <v>0</v>
      </c>
      <c r="H54" s="572" t="s">
        <v>75</v>
      </c>
      <c r="I54" s="621" t="e">
        <f>IF(H54="Jah",LOOKUP(C54,'HT-Transport (M3)'!$B$5:$B$18,'HT-Transport (M3)'!$C$5:$C$18),IF(H54="Ei","x "))</f>
        <v>#N/A</v>
      </c>
      <c r="J54" s="547"/>
      <c r="K54" s="289" t="str">
        <f t="shared" si="1"/>
        <v/>
      </c>
      <c r="L54" s="949" t="e">
        <f>IF(H54="Jah", LOOKUP(C54,'HT-Transport (M3)'!$B$5:$B$18,'HT-Transport (M3)'!$E$5:$E$18),IF(H54= "Ei", " "))</f>
        <v>#N/A</v>
      </c>
      <c r="M54" s="950"/>
      <c r="N54" s="951"/>
      <c r="O54" s="549" t="e">
        <f t="shared" si="9"/>
        <v>#N/A</v>
      </c>
      <c r="P54" s="549" t="e">
        <f t="shared" si="2"/>
        <v>#N/A</v>
      </c>
      <c r="T54" s="618"/>
      <c r="U54" s="923"/>
      <c r="V54" s="924"/>
      <c r="W54" s="619"/>
      <c r="X54" s="588"/>
      <c r="Y54" s="620">
        <f t="shared" si="3"/>
        <v>0</v>
      </c>
      <c r="Z54" s="572" t="s">
        <v>75</v>
      </c>
      <c r="AA54" s="621" t="e">
        <f>IF(Z54="Jah",LOOKUP(U54,'HT-Transport (M3)'!$B$5:$B$18,'HT-Transport (M3)'!$C$5:$C$18),IF(Z54="Ei","x "))</f>
        <v>#N/A</v>
      </c>
      <c r="AB54" s="547"/>
      <c r="AC54" s="289" t="str">
        <f t="shared" si="12"/>
        <v/>
      </c>
      <c r="AD54" s="949" t="e">
        <f>IF(Z54="Jah", LOOKUP(U54,'HT-Transport (M3)'!$B$5:$B$18,'HT-Transport (M3)'!$E$5:$E$18),IF(Z54= "Ei", " "))</f>
        <v>#N/A</v>
      </c>
      <c r="AE54" s="950"/>
      <c r="AF54" s="951"/>
      <c r="AG54" s="549" t="e">
        <f t="shared" si="10"/>
        <v>#N/A</v>
      </c>
      <c r="AH54" s="549" t="e">
        <f t="shared" si="5"/>
        <v>#N/A</v>
      </c>
      <c r="AL54" s="618"/>
      <c r="AM54" s="923"/>
      <c r="AN54" s="924"/>
      <c r="AO54" s="619"/>
      <c r="AP54" s="588"/>
      <c r="AQ54" s="620">
        <f t="shared" si="6"/>
        <v>0</v>
      </c>
      <c r="AR54" s="572" t="s">
        <v>75</v>
      </c>
      <c r="AS54" s="621" t="e">
        <f>IF(AR54="Jah",LOOKUP(AM54,'HT-Transport (M3)'!$B$5:$B$18,'HT-Transport (M3)'!$C$5:$C$18),IF(AR54="Ei","x "))</f>
        <v>#N/A</v>
      </c>
      <c r="AT54" s="547"/>
      <c r="AU54" s="289" t="str">
        <f t="shared" si="13"/>
        <v/>
      </c>
      <c r="AV54" s="949" t="e">
        <f>IF(AR54="Jah", LOOKUP(AM54,'HT-Transport (M3)'!$B$5:$B$18,'HT-Transport (M3)'!$E$5:$E$18),IF(AR54= "Ei", " "))</f>
        <v>#N/A</v>
      </c>
      <c r="AW54" s="950"/>
      <c r="AX54" s="951"/>
      <c r="AY54" s="549" t="e">
        <f t="shared" si="11"/>
        <v>#N/A</v>
      </c>
      <c r="AZ54" s="549" t="e">
        <f t="shared" si="8"/>
        <v>#N/A</v>
      </c>
    </row>
    <row r="55" spans="1:53" ht="15" customHeight="1">
      <c r="B55" s="618"/>
      <c r="C55" s="923"/>
      <c r="D55" s="924"/>
      <c r="E55" s="619"/>
      <c r="F55" s="588"/>
      <c r="G55" s="620">
        <f t="shared" si="0"/>
        <v>0</v>
      </c>
      <c r="H55" s="572" t="s">
        <v>75</v>
      </c>
      <c r="I55" s="621" t="e">
        <f>IF(H55="Jah",LOOKUP(C55,'HT-Transport (M3)'!$B$5:$B$18,'HT-Transport (M3)'!$C$5:$C$18),IF(H55="Ei","x "))</f>
        <v>#N/A</v>
      </c>
      <c r="J55" s="547"/>
      <c r="K55" s="289" t="str">
        <f t="shared" si="1"/>
        <v/>
      </c>
      <c r="L55" s="949" t="e">
        <f>IF(H55="Jah", LOOKUP(C55,'HT-Transport (M3)'!$B$5:$B$18,'HT-Transport (M3)'!$E$5:$E$18),IF(H55= "Ei", " "))</f>
        <v>#N/A</v>
      </c>
      <c r="M55" s="950"/>
      <c r="N55" s="951"/>
      <c r="O55" s="549" t="e">
        <f t="shared" si="9"/>
        <v>#N/A</v>
      </c>
      <c r="P55" s="549" t="e">
        <f t="shared" si="2"/>
        <v>#N/A</v>
      </c>
      <c r="T55" s="618"/>
      <c r="U55" s="923"/>
      <c r="V55" s="924"/>
      <c r="W55" s="619"/>
      <c r="X55" s="588"/>
      <c r="Y55" s="620">
        <f t="shared" si="3"/>
        <v>0</v>
      </c>
      <c r="Z55" s="572" t="s">
        <v>75</v>
      </c>
      <c r="AA55" s="621" t="e">
        <f>IF(Z55="Jah",LOOKUP(U55,'HT-Transport (M3)'!$B$5:$B$18,'HT-Transport (M3)'!$C$5:$C$18),IF(Z55="Ei","x "))</f>
        <v>#N/A</v>
      </c>
      <c r="AB55" s="547"/>
      <c r="AC55" s="289" t="str">
        <f t="shared" si="12"/>
        <v/>
      </c>
      <c r="AD55" s="949" t="e">
        <f>IF(Z55="Jah", LOOKUP(U55,'HT-Transport (M3)'!$B$5:$B$18,'HT-Transport (M3)'!$E$5:$E$18),IF(Z55= "Ei", " "))</f>
        <v>#N/A</v>
      </c>
      <c r="AE55" s="950"/>
      <c r="AF55" s="951"/>
      <c r="AG55" s="549" t="e">
        <f t="shared" si="10"/>
        <v>#N/A</v>
      </c>
      <c r="AH55" s="549" t="e">
        <f t="shared" si="5"/>
        <v>#N/A</v>
      </c>
      <c r="AL55" s="618"/>
      <c r="AM55" s="923"/>
      <c r="AN55" s="924"/>
      <c r="AO55" s="619"/>
      <c r="AP55" s="588"/>
      <c r="AQ55" s="620">
        <f t="shared" si="6"/>
        <v>0</v>
      </c>
      <c r="AR55" s="572" t="s">
        <v>75</v>
      </c>
      <c r="AS55" s="621" t="e">
        <f>IF(AR55="Jah",LOOKUP(AM55,'HT-Transport (M3)'!$B$5:$B$18,'HT-Transport (M3)'!$C$5:$C$18),IF(AR55="Ei","x "))</f>
        <v>#N/A</v>
      </c>
      <c r="AT55" s="547"/>
      <c r="AU55" s="289" t="str">
        <f t="shared" si="13"/>
        <v/>
      </c>
      <c r="AV55" s="949" t="e">
        <f>IF(AR55="Jah", LOOKUP(AM55,'HT-Transport (M3)'!$B$5:$B$18,'HT-Transport (M3)'!$E$5:$E$18),IF(AR55= "Ei", " "))</f>
        <v>#N/A</v>
      </c>
      <c r="AW55" s="950"/>
      <c r="AX55" s="951"/>
      <c r="AY55" s="549" t="e">
        <f t="shared" si="11"/>
        <v>#N/A</v>
      </c>
      <c r="AZ55" s="549" t="e">
        <f t="shared" si="8"/>
        <v>#N/A</v>
      </c>
    </row>
    <row r="56" spans="1:53" ht="15" customHeight="1">
      <c r="B56" s="618"/>
      <c r="C56" s="923"/>
      <c r="D56" s="924"/>
      <c r="E56" s="619"/>
      <c r="F56" s="588"/>
      <c r="G56" s="620">
        <f t="shared" si="0"/>
        <v>0</v>
      </c>
      <c r="H56" s="572" t="s">
        <v>75</v>
      </c>
      <c r="I56" s="621" t="e">
        <f>IF(H56="Jah",LOOKUP(C56,'HT-Transport (M3)'!$B$5:$B$18,'HT-Transport (M3)'!$C$5:$C$18),IF(H56="Ei","x "))</f>
        <v>#N/A</v>
      </c>
      <c r="J56" s="547"/>
      <c r="K56" s="289" t="str">
        <f t="shared" si="1"/>
        <v/>
      </c>
      <c r="L56" s="949" t="e">
        <f>IF(H56="Jah", LOOKUP(C56,'HT-Transport (M3)'!$B$5:$B$18,'HT-Transport (M3)'!$E$5:$E$18),IF(H56= "Ei", " "))</f>
        <v>#N/A</v>
      </c>
      <c r="M56" s="950"/>
      <c r="N56" s="951"/>
      <c r="O56" s="549" t="e">
        <f t="shared" si="9"/>
        <v>#N/A</v>
      </c>
      <c r="P56" s="549" t="e">
        <f t="shared" si="2"/>
        <v>#N/A</v>
      </c>
      <c r="T56" s="618"/>
      <c r="U56" s="923"/>
      <c r="V56" s="924"/>
      <c r="W56" s="619"/>
      <c r="X56" s="588"/>
      <c r="Y56" s="620">
        <f t="shared" si="3"/>
        <v>0</v>
      </c>
      <c r="Z56" s="572" t="s">
        <v>75</v>
      </c>
      <c r="AA56" s="621" t="e">
        <f>IF(Z56="Jah",LOOKUP(U56,'HT-Transport (M3)'!$B$5:$B$18,'HT-Transport (M3)'!$C$5:$C$18),IF(Z56="Ei","x "))</f>
        <v>#N/A</v>
      </c>
      <c r="AB56" s="547"/>
      <c r="AC56" s="289" t="str">
        <f t="shared" si="12"/>
        <v/>
      </c>
      <c r="AD56" s="949" t="e">
        <f>IF(Z56="Jah", LOOKUP(U56,'HT-Transport (M3)'!$B$5:$B$18,'HT-Transport (M3)'!$E$5:$E$18),IF(Z56= "Ei", " "))</f>
        <v>#N/A</v>
      </c>
      <c r="AE56" s="950"/>
      <c r="AF56" s="951"/>
      <c r="AG56" s="549" t="e">
        <f t="shared" si="10"/>
        <v>#N/A</v>
      </c>
      <c r="AH56" s="549" t="e">
        <f t="shared" si="5"/>
        <v>#N/A</v>
      </c>
      <c r="AL56" s="618"/>
      <c r="AM56" s="923"/>
      <c r="AN56" s="924"/>
      <c r="AO56" s="619"/>
      <c r="AP56" s="588"/>
      <c r="AQ56" s="620">
        <f t="shared" si="6"/>
        <v>0</v>
      </c>
      <c r="AR56" s="572" t="s">
        <v>75</v>
      </c>
      <c r="AS56" s="621" t="e">
        <f>IF(AR56="Jah",LOOKUP(AM56,'HT-Transport (M3)'!$B$5:$B$18,'HT-Transport (M3)'!$C$5:$C$18),IF(AR56="Ei","x "))</f>
        <v>#N/A</v>
      </c>
      <c r="AT56" s="547"/>
      <c r="AU56" s="289" t="str">
        <f t="shared" si="13"/>
        <v/>
      </c>
      <c r="AV56" s="949" t="e">
        <f>IF(AR56="Jah", LOOKUP(AM56,'HT-Transport (M3)'!$B$5:$B$18,'HT-Transport (M3)'!$E$5:$E$18),IF(AR56= "Ei", " "))</f>
        <v>#N/A</v>
      </c>
      <c r="AW56" s="950"/>
      <c r="AX56" s="951"/>
      <c r="AY56" s="549" t="e">
        <f t="shared" si="11"/>
        <v>#N/A</v>
      </c>
      <c r="AZ56" s="549" t="e">
        <f t="shared" si="8"/>
        <v>#N/A</v>
      </c>
    </row>
    <row r="57" spans="1:53" ht="15" customHeight="1">
      <c r="B57" s="618"/>
      <c r="C57" s="923"/>
      <c r="D57" s="924"/>
      <c r="E57" s="619"/>
      <c r="F57" s="588"/>
      <c r="G57" s="620">
        <f t="shared" si="0"/>
        <v>0</v>
      </c>
      <c r="H57" s="572" t="s">
        <v>75</v>
      </c>
      <c r="I57" s="621" t="e">
        <f>IF(H57="Jah",LOOKUP(C57,'HT-Transport (M3)'!$B$5:$B$18,'HT-Transport (M3)'!$C$5:$C$18),IF(H57="Ei","x "))</f>
        <v>#N/A</v>
      </c>
      <c r="J57" s="547"/>
      <c r="K57" s="289" t="str">
        <f t="shared" si="1"/>
        <v/>
      </c>
      <c r="L57" s="949" t="e">
        <f>IF(H57="Jah", LOOKUP(C57,'HT-Transport (M3)'!$B$5:$B$18,'HT-Transport (M3)'!$E$5:$E$18),IF(H57= "Ei", " "))</f>
        <v>#N/A</v>
      </c>
      <c r="M57" s="950"/>
      <c r="N57" s="951"/>
      <c r="O57" s="549" t="e">
        <f t="shared" si="9"/>
        <v>#N/A</v>
      </c>
      <c r="P57" s="549" t="e">
        <f t="shared" si="2"/>
        <v>#N/A</v>
      </c>
      <c r="T57" s="618"/>
      <c r="U57" s="923"/>
      <c r="V57" s="924"/>
      <c r="W57" s="619"/>
      <c r="X57" s="588"/>
      <c r="Y57" s="620">
        <f t="shared" si="3"/>
        <v>0</v>
      </c>
      <c r="Z57" s="572" t="s">
        <v>75</v>
      </c>
      <c r="AA57" s="621" t="e">
        <f>IF(Z57="Jah",LOOKUP(U57,'HT-Transport (M3)'!$B$5:$B$18,'HT-Transport (M3)'!$C$5:$C$18),IF(Z57="Ei","x "))</f>
        <v>#N/A</v>
      </c>
      <c r="AB57" s="547"/>
      <c r="AC57" s="289" t="str">
        <f t="shared" si="12"/>
        <v/>
      </c>
      <c r="AD57" s="949" t="e">
        <f>IF(Z57="Jah", LOOKUP(U57,'HT-Transport (M3)'!$B$5:$B$18,'HT-Transport (M3)'!$E$5:$E$18),IF(Z57= "Ei", " "))</f>
        <v>#N/A</v>
      </c>
      <c r="AE57" s="950"/>
      <c r="AF57" s="951"/>
      <c r="AG57" s="549" t="e">
        <f t="shared" si="10"/>
        <v>#N/A</v>
      </c>
      <c r="AH57" s="549" t="e">
        <f t="shared" si="5"/>
        <v>#N/A</v>
      </c>
      <c r="AL57" s="618"/>
      <c r="AM57" s="923"/>
      <c r="AN57" s="924"/>
      <c r="AO57" s="619"/>
      <c r="AP57" s="588"/>
      <c r="AQ57" s="620">
        <f t="shared" si="6"/>
        <v>0</v>
      </c>
      <c r="AR57" s="572" t="s">
        <v>75</v>
      </c>
      <c r="AS57" s="621" t="e">
        <f>IF(AR57="Jah",LOOKUP(AM57,'HT-Transport (M3)'!$B$5:$B$18,'HT-Transport (M3)'!$C$5:$C$18),IF(AR57="Ei","x "))</f>
        <v>#N/A</v>
      </c>
      <c r="AT57" s="547"/>
      <c r="AU57" s="289" t="str">
        <f t="shared" si="13"/>
        <v/>
      </c>
      <c r="AV57" s="949" t="e">
        <f>IF(AR57="Jah", LOOKUP(AM57,'HT-Transport (M3)'!$B$5:$B$18,'HT-Transport (M3)'!$E$5:$E$18),IF(AR57= "Ei", " "))</f>
        <v>#N/A</v>
      </c>
      <c r="AW57" s="950"/>
      <c r="AX57" s="951"/>
      <c r="AY57" s="549" t="e">
        <f t="shared" si="11"/>
        <v>#N/A</v>
      </c>
      <c r="AZ57" s="549" t="e">
        <f t="shared" si="8"/>
        <v>#N/A</v>
      </c>
    </row>
    <row r="58" spans="1:53" ht="15" customHeight="1">
      <c r="B58" s="618"/>
      <c r="C58" s="923"/>
      <c r="D58" s="924"/>
      <c r="E58" s="622"/>
      <c r="F58" s="623"/>
      <c r="G58" s="624">
        <f t="shared" si="0"/>
        <v>0</v>
      </c>
      <c r="H58" s="576" t="s">
        <v>75</v>
      </c>
      <c r="I58" s="621" t="e">
        <f>IF(H58="Jah",LOOKUP(C58,'HT-Transport (M3)'!$B$5:$B$18,'HT-Transport (M3)'!$C$5:$C$18),IF(H58="Ei","x "))</f>
        <v>#N/A</v>
      </c>
      <c r="J58" s="547"/>
      <c r="K58" s="289" t="str">
        <f t="shared" si="1"/>
        <v/>
      </c>
      <c r="L58" s="949" t="e">
        <f>IF(H58="Jah", LOOKUP(C58,'HT-Transport (M3)'!$B$5:$B$18,'HT-Transport (M3)'!$E$5:$E$18),IF(H58= "Ei", " "))</f>
        <v>#N/A</v>
      </c>
      <c r="M58" s="950"/>
      <c r="N58" s="951"/>
      <c r="O58" s="552" t="e">
        <f t="shared" si="9"/>
        <v>#N/A</v>
      </c>
      <c r="P58" s="549" t="e">
        <f t="shared" si="2"/>
        <v>#N/A</v>
      </c>
      <c r="T58" s="618"/>
      <c r="U58" s="923"/>
      <c r="V58" s="924"/>
      <c r="W58" s="622"/>
      <c r="X58" s="623"/>
      <c r="Y58" s="624">
        <f t="shared" si="3"/>
        <v>0</v>
      </c>
      <c r="Z58" s="576" t="s">
        <v>75</v>
      </c>
      <c r="AA58" s="621" t="e">
        <f>IF(Z58="Jah",LOOKUP(U58,'HT-Transport (M3)'!$B$5:$B$18,'HT-Transport (M3)'!$C$5:$C$18),IF(Z58="Ei","x "))</f>
        <v>#N/A</v>
      </c>
      <c r="AB58" s="547"/>
      <c r="AC58" s="289" t="str">
        <f t="shared" si="12"/>
        <v/>
      </c>
      <c r="AD58" s="949" t="e">
        <f>IF(Z58="Jah", LOOKUP(U58,'HT-Transport (M3)'!$B$5:$B$18,'HT-Transport (M3)'!$E$5:$E$18),IF(Z58= "Ei", " "))</f>
        <v>#N/A</v>
      </c>
      <c r="AE58" s="950"/>
      <c r="AF58" s="951"/>
      <c r="AG58" s="552" t="e">
        <f t="shared" si="10"/>
        <v>#N/A</v>
      </c>
      <c r="AH58" s="549" t="e">
        <f t="shared" si="5"/>
        <v>#N/A</v>
      </c>
      <c r="AL58" s="618"/>
      <c r="AM58" s="923"/>
      <c r="AN58" s="924"/>
      <c r="AO58" s="622"/>
      <c r="AP58" s="623"/>
      <c r="AQ58" s="624">
        <f t="shared" si="6"/>
        <v>0</v>
      </c>
      <c r="AR58" s="576" t="s">
        <v>75</v>
      </c>
      <c r="AS58" s="621" t="e">
        <f>IF(AR58="Jah",LOOKUP(AM58,'HT-Transport (M3)'!$B$5:$B$18,'HT-Transport (M3)'!$C$5:$C$18),IF(AR58="Ei","x "))</f>
        <v>#N/A</v>
      </c>
      <c r="AT58" s="547"/>
      <c r="AU58" s="289" t="str">
        <f t="shared" si="13"/>
        <v/>
      </c>
      <c r="AV58" s="949" t="e">
        <f>IF(AR58="Jah", LOOKUP(AM58,'HT-Transport (M3)'!$B$5:$B$18,'HT-Transport (M3)'!$E$5:$E$18),IF(AR58= "Ei", " "))</f>
        <v>#N/A</v>
      </c>
      <c r="AW58" s="950"/>
      <c r="AX58" s="951"/>
      <c r="AY58" s="552" t="e">
        <f t="shared" si="11"/>
        <v>#N/A</v>
      </c>
      <c r="AZ58" s="549" t="e">
        <f t="shared" si="8"/>
        <v>#N/A</v>
      </c>
    </row>
    <row r="59" spans="1:53" ht="15" customHeight="1">
      <c r="B59" s="625"/>
      <c r="C59" s="626"/>
      <c r="D59" s="537"/>
      <c r="E59" s="591"/>
      <c r="F59" s="537"/>
      <c r="G59" s="537"/>
      <c r="H59" s="537"/>
      <c r="I59" s="537"/>
      <c r="J59" s="537"/>
      <c r="K59" s="537"/>
      <c r="L59" s="537"/>
      <c r="M59" s="538"/>
      <c r="N59" s="592" t="s">
        <v>1592</v>
      </c>
      <c r="O59" s="627">
        <f>SUMIF(O49:O58,"&lt;&gt;#N/A")</f>
        <v>687.24138977045357</v>
      </c>
      <c r="P59" s="593">
        <f>SUMIF(P49:P58,"&lt;&gt;#N/A")</f>
        <v>0.68724138977045357</v>
      </c>
      <c r="T59" s="625"/>
      <c r="U59" s="626"/>
      <c r="V59" s="537"/>
      <c r="W59" s="591"/>
      <c r="X59" s="537"/>
      <c r="Y59" s="537"/>
      <c r="Z59" s="537"/>
      <c r="AA59" s="537"/>
      <c r="AB59" s="537"/>
      <c r="AC59" s="537"/>
      <c r="AD59" s="537"/>
      <c r="AE59" s="538"/>
      <c r="AF59" s="592" t="s">
        <v>1592</v>
      </c>
      <c r="AG59" s="627">
        <f>SUMIF(AG49:AG58,"&lt;&gt;#N/A")</f>
        <v>11554.284900314091</v>
      </c>
      <c r="AH59" s="593">
        <f>SUMIF(AH49:AH58,"&lt;&gt;#N/A")</f>
        <v>11.554284900314091</v>
      </c>
      <c r="AL59" s="625"/>
      <c r="AM59" s="626"/>
      <c r="AN59" s="537"/>
      <c r="AO59" s="591"/>
      <c r="AP59" s="537"/>
      <c r="AQ59" s="537"/>
      <c r="AR59" s="537"/>
      <c r="AS59" s="537"/>
      <c r="AT59" s="537"/>
      <c r="AU59" s="537"/>
      <c r="AV59" s="537"/>
      <c r="AW59" s="538"/>
      <c r="AX59" s="592" t="s">
        <v>1592</v>
      </c>
      <c r="AY59" s="627">
        <f>SUMIF(AY49:AY58,"&lt;&gt;#N/A")</f>
        <v>0</v>
      </c>
      <c r="AZ59" s="593">
        <f>SUMIF(AZ49:AZ58,"&lt;&gt;#N/A")</f>
        <v>0</v>
      </c>
    </row>
    <row r="60" spans="1:53" ht="15" customHeight="1">
      <c r="F60" s="297"/>
      <c r="H60" s="297"/>
    </row>
    <row r="61" spans="1:53" ht="15" customHeight="1">
      <c r="F61" s="297"/>
      <c r="H61" s="297"/>
    </row>
    <row r="62" spans="1:53" s="302" customFormat="1" ht="15" customHeight="1">
      <c r="B62" s="308" t="s">
        <v>1620</v>
      </c>
      <c r="C62" s="543"/>
      <c r="D62" s="543"/>
      <c r="E62" s="617"/>
      <c r="F62" s="543"/>
      <c r="G62" s="543"/>
      <c r="H62" s="543"/>
      <c r="I62" s="543"/>
      <c r="J62" s="543"/>
      <c r="K62" s="543"/>
      <c r="L62" s="543"/>
      <c r="M62" s="543"/>
      <c r="N62" s="543"/>
      <c r="O62" s="543"/>
      <c r="P62" s="543"/>
      <c r="Q62" s="628"/>
      <c r="T62" s="308" t="s">
        <v>1620</v>
      </c>
      <c r="U62" s="543"/>
      <c r="V62" s="543"/>
      <c r="W62" s="617"/>
      <c r="X62" s="543"/>
      <c r="Y62" s="543"/>
      <c r="Z62" s="543"/>
      <c r="AA62" s="543"/>
      <c r="AB62" s="543"/>
      <c r="AC62" s="543"/>
      <c r="AD62" s="543"/>
      <c r="AE62" s="543"/>
      <c r="AF62" s="543"/>
      <c r="AG62" s="543"/>
      <c r="AH62" s="543"/>
      <c r="AI62" s="628"/>
      <c r="AK62" s="297"/>
      <c r="AL62" s="308" t="s">
        <v>1620</v>
      </c>
      <c r="AM62" s="543"/>
      <c r="AN62" s="543"/>
      <c r="AO62" s="617"/>
      <c r="AP62" s="543"/>
      <c r="AQ62" s="543"/>
      <c r="AR62" s="543"/>
      <c r="AS62" s="543"/>
      <c r="AT62" s="543"/>
      <c r="AU62" s="543"/>
      <c r="AV62" s="543"/>
      <c r="AW62" s="543"/>
      <c r="AX62" s="543"/>
      <c r="AY62" s="543"/>
      <c r="AZ62" s="543"/>
      <c r="BA62" s="628"/>
    </row>
    <row r="63" spans="1:53" s="302" customFormat="1" ht="15" customHeight="1">
      <c r="B63" s="308" t="s">
        <v>1619</v>
      </c>
      <c r="C63" s="543"/>
      <c r="D63" s="543"/>
      <c r="E63" s="543"/>
      <c r="F63" s="543"/>
      <c r="G63" s="543"/>
      <c r="H63" s="617"/>
      <c r="I63" s="543"/>
      <c r="J63" s="543"/>
      <c r="K63" s="543"/>
      <c r="L63" s="543"/>
      <c r="M63" s="543"/>
      <c r="N63" s="543"/>
      <c r="O63" s="543"/>
      <c r="P63" s="543"/>
      <c r="Q63" s="544"/>
      <c r="T63" s="308" t="s">
        <v>1619</v>
      </c>
      <c r="U63" s="543"/>
      <c r="V63" s="543"/>
      <c r="W63" s="543"/>
      <c r="X63" s="543"/>
      <c r="Y63" s="543"/>
      <c r="Z63" s="617"/>
      <c r="AA63" s="543"/>
      <c r="AB63" s="543"/>
      <c r="AC63" s="543"/>
      <c r="AD63" s="543"/>
      <c r="AE63" s="543"/>
      <c r="AF63" s="543"/>
      <c r="AG63" s="543"/>
      <c r="AH63" s="543"/>
      <c r="AI63" s="544"/>
      <c r="AK63" s="297"/>
      <c r="AL63" s="308" t="s">
        <v>1619</v>
      </c>
      <c r="AM63" s="543"/>
      <c r="AN63" s="543"/>
      <c r="AO63" s="543"/>
      <c r="AP63" s="543"/>
      <c r="AQ63" s="543"/>
      <c r="AR63" s="617"/>
      <c r="AS63" s="543"/>
      <c r="AT63" s="543"/>
      <c r="AU63" s="543"/>
      <c r="AV63" s="543"/>
      <c r="AW63" s="543"/>
      <c r="AX63" s="543"/>
      <c r="AY63" s="543"/>
      <c r="AZ63" s="543"/>
      <c r="BA63" s="544"/>
    </row>
    <row r="64" spans="1:53" ht="15" customHeight="1">
      <c r="A64" s="297"/>
      <c r="B64" s="925" t="s">
        <v>57</v>
      </c>
      <c r="C64" s="908" t="s">
        <v>1610</v>
      </c>
      <c r="D64" s="909"/>
      <c r="E64" s="925" t="s">
        <v>111</v>
      </c>
      <c r="F64" s="914" t="s">
        <v>107</v>
      </c>
      <c r="G64" s="914" t="s">
        <v>1597</v>
      </c>
      <c r="H64" s="914" t="s">
        <v>108</v>
      </c>
      <c r="I64" s="914" t="s">
        <v>68</v>
      </c>
      <c r="J64" s="914" t="s">
        <v>1532</v>
      </c>
      <c r="K64" s="914" t="s">
        <v>70</v>
      </c>
      <c r="L64" s="925" t="s">
        <v>81</v>
      </c>
      <c r="M64" s="908" t="s">
        <v>71</v>
      </c>
      <c r="N64" s="941"/>
      <c r="O64" s="909"/>
      <c r="P64" s="916" t="s">
        <v>86</v>
      </c>
      <c r="Q64" s="917"/>
      <c r="T64" s="925" t="s">
        <v>57</v>
      </c>
      <c r="U64" s="908" t="s">
        <v>1610</v>
      </c>
      <c r="V64" s="909"/>
      <c r="W64" s="914" t="s">
        <v>106</v>
      </c>
      <c r="X64" s="914" t="s">
        <v>107</v>
      </c>
      <c r="Y64" s="914" t="s">
        <v>1597</v>
      </c>
      <c r="Z64" s="914" t="s">
        <v>108</v>
      </c>
      <c r="AA64" s="914" t="s">
        <v>68</v>
      </c>
      <c r="AB64" s="914" t="s">
        <v>1532</v>
      </c>
      <c r="AC64" s="914" t="s">
        <v>70</v>
      </c>
      <c r="AD64" s="925" t="s">
        <v>81</v>
      </c>
      <c r="AE64" s="908" t="s">
        <v>71</v>
      </c>
      <c r="AF64" s="941"/>
      <c r="AG64" s="909"/>
      <c r="AH64" s="916" t="s">
        <v>86</v>
      </c>
      <c r="AI64" s="917"/>
      <c r="AL64" s="925" t="s">
        <v>57</v>
      </c>
      <c r="AM64" s="908" t="s">
        <v>1610</v>
      </c>
      <c r="AN64" s="909"/>
      <c r="AO64" s="914" t="s">
        <v>106</v>
      </c>
      <c r="AP64" s="914" t="s">
        <v>107</v>
      </c>
      <c r="AQ64" s="914" t="s">
        <v>1597</v>
      </c>
      <c r="AR64" s="914" t="s">
        <v>108</v>
      </c>
      <c r="AS64" s="914" t="s">
        <v>68</v>
      </c>
      <c r="AT64" s="914" t="s">
        <v>1532</v>
      </c>
      <c r="AU64" s="914" t="s">
        <v>70</v>
      </c>
      <c r="AV64" s="925" t="s">
        <v>81</v>
      </c>
      <c r="AW64" s="908" t="s">
        <v>71</v>
      </c>
      <c r="AX64" s="941"/>
      <c r="AY64" s="909"/>
      <c r="AZ64" s="916" t="s">
        <v>86</v>
      </c>
      <c r="BA64" s="917"/>
    </row>
    <row r="65" spans="1:54" ht="15" customHeight="1">
      <c r="A65" s="297"/>
      <c r="B65" s="926"/>
      <c r="C65" s="928"/>
      <c r="D65" s="929"/>
      <c r="E65" s="926"/>
      <c r="F65" s="915"/>
      <c r="G65" s="915"/>
      <c r="H65" s="915"/>
      <c r="I65" s="915"/>
      <c r="J65" s="915"/>
      <c r="K65" s="915"/>
      <c r="L65" s="926"/>
      <c r="M65" s="928"/>
      <c r="N65" s="942"/>
      <c r="O65" s="929"/>
      <c r="P65" s="918"/>
      <c r="Q65" s="919"/>
      <c r="T65" s="926"/>
      <c r="U65" s="928"/>
      <c r="V65" s="929"/>
      <c r="W65" s="915"/>
      <c r="X65" s="915"/>
      <c r="Y65" s="915"/>
      <c r="Z65" s="915"/>
      <c r="AA65" s="915"/>
      <c r="AB65" s="915"/>
      <c r="AC65" s="915"/>
      <c r="AD65" s="926"/>
      <c r="AE65" s="928"/>
      <c r="AF65" s="942"/>
      <c r="AG65" s="929"/>
      <c r="AH65" s="918"/>
      <c r="AI65" s="919"/>
      <c r="AL65" s="926"/>
      <c r="AM65" s="928"/>
      <c r="AN65" s="929"/>
      <c r="AO65" s="915"/>
      <c r="AP65" s="915"/>
      <c r="AQ65" s="915"/>
      <c r="AR65" s="915"/>
      <c r="AS65" s="915"/>
      <c r="AT65" s="915"/>
      <c r="AU65" s="915"/>
      <c r="AV65" s="926"/>
      <c r="AW65" s="928"/>
      <c r="AX65" s="942"/>
      <c r="AY65" s="929"/>
      <c r="AZ65" s="918"/>
      <c r="BA65" s="919"/>
    </row>
    <row r="66" spans="1:54" ht="15" customHeight="1">
      <c r="A66" s="297"/>
      <c r="B66" s="926"/>
      <c r="C66" s="928"/>
      <c r="D66" s="929"/>
      <c r="E66" s="926"/>
      <c r="F66" s="915"/>
      <c r="G66" s="915"/>
      <c r="H66" s="915"/>
      <c r="I66" s="922"/>
      <c r="J66" s="915"/>
      <c r="K66" s="915"/>
      <c r="L66" s="926"/>
      <c r="M66" s="928"/>
      <c r="N66" s="942"/>
      <c r="O66" s="929"/>
      <c r="P66" s="920"/>
      <c r="Q66" s="921"/>
      <c r="T66" s="926"/>
      <c r="U66" s="928"/>
      <c r="V66" s="929"/>
      <c r="W66" s="915"/>
      <c r="X66" s="915"/>
      <c r="Y66" s="915"/>
      <c r="Z66" s="915"/>
      <c r="AA66" s="922"/>
      <c r="AB66" s="915"/>
      <c r="AC66" s="915"/>
      <c r="AD66" s="926"/>
      <c r="AE66" s="928"/>
      <c r="AF66" s="942"/>
      <c r="AG66" s="929"/>
      <c r="AH66" s="920"/>
      <c r="AI66" s="921"/>
      <c r="AL66" s="926"/>
      <c r="AM66" s="928"/>
      <c r="AN66" s="929"/>
      <c r="AO66" s="915"/>
      <c r="AP66" s="915"/>
      <c r="AQ66" s="915"/>
      <c r="AR66" s="915"/>
      <c r="AS66" s="922"/>
      <c r="AT66" s="915"/>
      <c r="AU66" s="915"/>
      <c r="AV66" s="926"/>
      <c r="AW66" s="928"/>
      <c r="AX66" s="942"/>
      <c r="AY66" s="929"/>
      <c r="AZ66" s="920"/>
      <c r="BA66" s="921"/>
    </row>
    <row r="67" spans="1:54" s="365" customFormat="1" ht="15" customHeight="1">
      <c r="A67" s="297"/>
      <c r="B67" s="927"/>
      <c r="C67" s="910"/>
      <c r="D67" s="911"/>
      <c r="E67" s="927"/>
      <c r="F67" s="922"/>
      <c r="G67" s="922"/>
      <c r="H67" s="922"/>
      <c r="I67" s="571" t="s">
        <v>73</v>
      </c>
      <c r="J67" s="922"/>
      <c r="K67" s="922"/>
      <c r="L67" s="927"/>
      <c r="M67" s="910"/>
      <c r="N67" s="943"/>
      <c r="O67" s="911"/>
      <c r="P67" s="545" t="s">
        <v>2085</v>
      </c>
      <c r="Q67" s="545" t="s">
        <v>2086</v>
      </c>
      <c r="T67" s="927"/>
      <c r="U67" s="910"/>
      <c r="V67" s="911"/>
      <c r="W67" s="922"/>
      <c r="X67" s="922"/>
      <c r="Y67" s="922"/>
      <c r="Z67" s="922"/>
      <c r="AA67" s="571" t="s">
        <v>73</v>
      </c>
      <c r="AB67" s="922"/>
      <c r="AC67" s="922"/>
      <c r="AD67" s="927"/>
      <c r="AE67" s="910"/>
      <c r="AF67" s="943"/>
      <c r="AG67" s="911"/>
      <c r="AH67" s="545" t="s">
        <v>2085</v>
      </c>
      <c r="AI67" s="545" t="s">
        <v>2086</v>
      </c>
      <c r="AK67" s="297"/>
      <c r="AL67" s="927"/>
      <c r="AM67" s="910"/>
      <c r="AN67" s="911"/>
      <c r="AO67" s="922"/>
      <c r="AP67" s="922"/>
      <c r="AQ67" s="922"/>
      <c r="AR67" s="922"/>
      <c r="AS67" s="571" t="s">
        <v>73</v>
      </c>
      <c r="AT67" s="922"/>
      <c r="AU67" s="922"/>
      <c r="AV67" s="927"/>
      <c r="AW67" s="910"/>
      <c r="AX67" s="943"/>
      <c r="AY67" s="911"/>
      <c r="AZ67" s="545" t="s">
        <v>2085</v>
      </c>
      <c r="BA67" s="545" t="s">
        <v>2086</v>
      </c>
    </row>
    <row r="68" spans="1:54" ht="15" customHeight="1">
      <c r="A68" s="297"/>
      <c r="B68" s="618">
        <v>1</v>
      </c>
      <c r="C68" s="923" t="s">
        <v>1544</v>
      </c>
      <c r="D68" s="924"/>
      <c r="E68" s="546">
        <v>500</v>
      </c>
      <c r="F68" s="588">
        <v>60</v>
      </c>
      <c r="G68" s="620">
        <f>IF(ISBLANK(F68),E68,F68*E68)</f>
        <v>30000</v>
      </c>
      <c r="H68" s="629"/>
      <c r="I68" s="572" t="s">
        <v>75</v>
      </c>
      <c r="J68" s="621">
        <f>IF(AND(I68="Jah",H68="Osalise koormaga, nt 50% "),LOOKUP(C68,'HT-Transport (M3)'!$B$23:$B$46,'HT-Transport (M3)'!$C$23:$C$46),IF(AND(I68="Jah",H68="Täiskoorem"),LOOKUP(C68,'HT-Transport (M3)'!$B$23:$B$46,'HT-Transport (M3)'!$D$23:$D$46),IF(I68="Jah",LOOKUP(C68,'HT-Transport (M3)'!$B$23:$B$46,'HT-Transport (M3)'!$E$23:$E$46),"x ")))</f>
        <v>0.66564212424215952</v>
      </c>
      <c r="K68" s="547"/>
      <c r="L68" s="289" t="str">
        <f>IF(ISBLANK(C68),"",IF(RIGHT(C68,7)="tonn-km","kg CO₂ ekv/tonn-km","kg CO₂ ekv/km"))</f>
        <v>kg CO₂ ekv/km</v>
      </c>
      <c r="M68" s="630" t="str">
        <f>IF(I68="Jah", LOOKUP(C68,'HT-Transport (M3)'!$B$23:$B$46,'HT-Transport (M3)'!$G$23:$G$46),IF(I68= "Ei", " "))</f>
        <v>KHG inventuur/COPERT</v>
      </c>
      <c r="N68" s="631"/>
      <c r="O68" s="632"/>
      <c r="P68" s="549">
        <f>IF(I68="Jah",G68*J68, IF(I68="Ei",G68*K68))</f>
        <v>19969.263727264784</v>
      </c>
      <c r="Q68" s="549">
        <f>P68*0.001</f>
        <v>19.969263727264785</v>
      </c>
      <c r="T68" s="618"/>
      <c r="U68" s="923"/>
      <c r="V68" s="924"/>
      <c r="W68" s="546"/>
      <c r="X68" s="588"/>
      <c r="Y68" s="620">
        <f>IF(ISBLANK(X68),W68,X68*W68)</f>
        <v>0</v>
      </c>
      <c r="Z68" s="629"/>
      <c r="AA68" s="572" t="s">
        <v>75</v>
      </c>
      <c r="AB68" s="621" t="e">
        <f>IF(AND(AA68="Jah",Z68="Osalise koormaga, nt 50% "),LOOKUP(U68,'HT-Transport (M3)'!$B$23:$B$46,'HT-Transport (M3)'!$C$23:$C$46),IF(AND(AA68="Jah",Z68="Täiskoorem"),LOOKUP(U68,'HT-Transport (M3)'!$B$23:$B$46,'HT-Transport (M3)'!$D$23:$D$46),IF(AA68="Jah",LOOKUP(U68,'HT-Transport (M3)'!$B$23:$B$46,'HT-Transport (M3)'!$E$23:$E$46),"x ")))</f>
        <v>#N/A</v>
      </c>
      <c r="AC68" s="547"/>
      <c r="AD68" s="289" t="str">
        <f>IF(ISBLANK(U68),"",IF(RIGHT(U68,7)="tonn-km","kg CO₂ ekv/tonn-km","kg CO₂ ekv/km"))</f>
        <v/>
      </c>
      <c r="AE68" s="630" t="e">
        <f>IF(AA68="Jah", LOOKUP(U68,'HT-Transport (M3)'!$B$23:$B$46,'HT-Transport (M3)'!$G$23:$G$46),IF(AA68= "Ei", " "))</f>
        <v>#N/A</v>
      </c>
      <c r="AF68" s="631"/>
      <c r="AG68" s="632"/>
      <c r="AH68" s="549" t="e">
        <f>IF(AA68="Jah",Y68*AB68, IF(AA68="Ei",Y68*AC68))</f>
        <v>#N/A</v>
      </c>
      <c r="AI68" s="549" t="e">
        <f>AH68*0.001</f>
        <v>#N/A</v>
      </c>
      <c r="AL68" s="618"/>
      <c r="AM68" s="923"/>
      <c r="AN68" s="924"/>
      <c r="AO68" s="546"/>
      <c r="AP68" s="588"/>
      <c r="AQ68" s="620">
        <f>IF(ISBLANK(AP68),AO68,AP68*AO68)</f>
        <v>0</v>
      </c>
      <c r="AR68" s="629"/>
      <c r="AS68" s="572" t="s">
        <v>75</v>
      </c>
      <c r="AT68" s="621" t="e">
        <f>IF(AND(AS68="Jah",AR68="Osalise koormaga, nt 50% "),LOOKUP(AM68,'HT-Transport (M3)'!$B$23:$B$46,'HT-Transport (M3)'!$C$23:$C$46),IF(AND(AS68="Jah",AR68="Täiskoorem"),LOOKUP(AM68,'HT-Transport (M3)'!$B$23:$B$46,'HT-Transport (M3)'!$D$23:$D$46),IF(AS68="Jah",LOOKUP(AM68,'HT-Transport (M3)'!$B$23:$B$46,'HT-Transport (M3)'!$E$23:$E$46),"x ")))</f>
        <v>#N/A</v>
      </c>
      <c r="AU68" s="547"/>
      <c r="AV68" s="289" t="str">
        <f>IF(ISBLANK(AM68),"",IF(RIGHT(AM68,7)="tonn-km","kg CO₂ ekv/tonn-km","kg CO₂ ekv/km"))</f>
        <v/>
      </c>
      <c r="AW68" s="630" t="e">
        <f>IF(AS68="Jah", LOOKUP(AM68,'HT-Transport (M3)'!$B$23:$B$46,'HT-Transport (M3)'!$G$23:$G$46),IF(AS68= "Ei", " "))</f>
        <v>#N/A</v>
      </c>
      <c r="AX68" s="631"/>
      <c r="AY68" s="632"/>
      <c r="AZ68" s="549" t="e">
        <f>IF(AS68="Jah",AQ68*AT68, IF(AS68="Ei",AQ68*AU68))</f>
        <v>#N/A</v>
      </c>
      <c r="BA68" s="549" t="e">
        <f>AZ68*0.001</f>
        <v>#N/A</v>
      </c>
    </row>
    <row r="69" spans="1:54" ht="15" customHeight="1">
      <c r="A69" s="297"/>
      <c r="B69" s="618">
        <v>2</v>
      </c>
      <c r="C69" s="923" t="s">
        <v>1546</v>
      </c>
      <c r="D69" s="924"/>
      <c r="E69" s="546">
        <v>900</v>
      </c>
      <c r="F69" s="546">
        <v>50</v>
      </c>
      <c r="G69" s="620">
        <f t="shared" ref="G69:G77" si="14">IF(ISBLANK(F69),E69,F69*E69)</f>
        <v>45000</v>
      </c>
      <c r="H69" s="629"/>
      <c r="I69" s="572" t="s">
        <v>78</v>
      </c>
      <c r="J69" s="621" t="str">
        <f>IF(AND(I69="Jah",H69="Osalise koormaga, nt 50% "),LOOKUP(C69,'HT-Transport (M3)'!$B$23:$B$46,'HT-Transport (M3)'!$C$23:$C$46),IF(AND(I69="Jah",H69="Täiskoorem"),LOOKUP(C69,'HT-Transport (M3)'!$B$23:$B$46,'HT-Transport (M3)'!$D$23:$D$46),IF(I69="Jah",LOOKUP(C69,'HT-Transport (M3)'!$B$23:$B$46,'HT-Transport (M3)'!$E$23:$E$46),"x ")))</f>
        <v xml:space="preserve">x </v>
      </c>
      <c r="K69" s="547">
        <v>0.4</v>
      </c>
      <c r="L69" s="289" t="str">
        <f t="shared" ref="L69:L77" si="15">IF(ISBLANK(C69),"",IF(RIGHT(C69,7)="tonn-km","kg CO₂ ekv/tonn-km","kg CO₂ ekv/km"))</f>
        <v>kg CO₂ ekv/km</v>
      </c>
      <c r="M69" s="630" t="str">
        <f>IF(I69="Jah", LOOKUP(C69,'HT-Transport (M3)'!$B$23:$B$46,'HT-Transport (M3)'!$G$23:$G$46),IF(I69= "Ei", " "))</f>
        <v xml:space="preserve"> </v>
      </c>
      <c r="N69" s="631"/>
      <c r="O69" s="632"/>
      <c r="P69" s="549">
        <f t="shared" ref="P69:P77" si="16">IF(I69="Jah",G69*J69, IF(I69="Ei",G69*K69))</f>
        <v>18000</v>
      </c>
      <c r="Q69" s="549">
        <f t="shared" ref="Q69:Q77" si="17">P69*0.001</f>
        <v>18</v>
      </c>
      <c r="T69" s="618"/>
      <c r="U69" s="923"/>
      <c r="V69" s="924"/>
      <c r="W69" s="546"/>
      <c r="X69" s="546"/>
      <c r="Y69" s="620">
        <f t="shared" ref="Y69:Y77" si="18">IF(ISBLANK(X69),W69,X69*W69)</f>
        <v>0</v>
      </c>
      <c r="Z69" s="629"/>
      <c r="AA69" s="572" t="s">
        <v>75</v>
      </c>
      <c r="AB69" s="621" t="e">
        <f>IF(AND(AA69="Jah",Z69="Osalise koormaga, nt 50% "),LOOKUP(U69,'HT-Transport (M3)'!$B$23:$B$46,'HT-Transport (M3)'!$C$23:$C$46),IF(AND(AA69="Jah",Z69="Täiskoorem"),LOOKUP(U69,'HT-Transport (M3)'!$B$23:$B$46,'HT-Transport (M3)'!$D$23:$D$46),IF(AA69="Jah",LOOKUP(U69,'HT-Transport (M3)'!$B$23:$B$46,'HT-Transport (M3)'!$E$23:$E$46),"x ")))</f>
        <v>#N/A</v>
      </c>
      <c r="AC69" s="547"/>
      <c r="AD69" s="289" t="str">
        <f t="shared" ref="AD69" si="19">IF(ISBLANK(U69),"",IF(RIGHT(U69,7)="tonn-km","kg CO₂ ekv/tonn-km","kg CO₂ ekv/km"))</f>
        <v/>
      </c>
      <c r="AE69" s="630" t="e">
        <f>IF(AA69="Jah", LOOKUP(U69,'HT-Transport (M3)'!$B$23:$B$46,'HT-Transport (M3)'!$G$23:$G$46),IF(AA69= "Ei", " "))</f>
        <v>#N/A</v>
      </c>
      <c r="AF69" s="631"/>
      <c r="AG69" s="632"/>
      <c r="AH69" s="549" t="e">
        <f t="shared" ref="AH69:AH77" si="20">IF(AA69="Jah",Y69*AB69, IF(AA69="Ei",Y69*AC69))</f>
        <v>#N/A</v>
      </c>
      <c r="AI69" s="549" t="e">
        <f t="shared" ref="AI69:AI77" si="21">AH69*0.001</f>
        <v>#N/A</v>
      </c>
      <c r="AL69" s="618"/>
      <c r="AM69" s="923"/>
      <c r="AN69" s="924"/>
      <c r="AO69" s="546"/>
      <c r="AP69" s="546"/>
      <c r="AQ69" s="620">
        <f t="shared" ref="AQ69:AQ77" si="22">IF(ISBLANK(AP69),AO69,AP69*AO69)</f>
        <v>0</v>
      </c>
      <c r="AR69" s="629"/>
      <c r="AS69" s="572" t="s">
        <v>75</v>
      </c>
      <c r="AT69" s="621" t="e">
        <f>IF(AND(AS69="Jah",AR69="Osalise koormaga, nt 50% "),LOOKUP(AM69,'HT-Transport (M3)'!$B$23:$B$46,'HT-Transport (M3)'!$C$23:$C$46),IF(AND(AS69="Jah",AR69="Täiskoorem"),LOOKUP(AM69,'HT-Transport (M3)'!$B$23:$B$46,'HT-Transport (M3)'!$D$23:$D$46),IF(AS69="Jah",LOOKUP(AM69,'HT-Transport (M3)'!$B$23:$B$46,'HT-Transport (M3)'!$E$23:$E$46),"x ")))</f>
        <v>#N/A</v>
      </c>
      <c r="AU69" s="547"/>
      <c r="AV69" s="289" t="str">
        <f t="shared" ref="AV69" si="23">IF(ISBLANK(AM69),"",IF(RIGHT(AM69,7)="tonn-km","kg CO₂ ekv/tonn-km","kg CO₂ ekv/km"))</f>
        <v/>
      </c>
      <c r="AW69" s="630" t="e">
        <f>IF(AS69="Jah", LOOKUP(AM69,'HT-Transport (M3)'!$B$23:$B$46,'HT-Transport (M3)'!$G$23:$G$46),IF(AS69= "Ei", " "))</f>
        <v>#N/A</v>
      </c>
      <c r="AX69" s="631"/>
      <c r="AY69" s="632"/>
      <c r="AZ69" s="549" t="e">
        <f t="shared" ref="AZ69:AZ77" si="24">IF(AS69="Jah",AQ69*AT69, IF(AS69="Ei",AQ69*AU69))</f>
        <v>#N/A</v>
      </c>
      <c r="BA69" s="549" t="e">
        <f t="shared" ref="BA69:BA77" si="25">AZ69*0.001</f>
        <v>#N/A</v>
      </c>
    </row>
    <row r="70" spans="1:54" ht="15" customHeight="1">
      <c r="B70" s="618">
        <v>2</v>
      </c>
      <c r="C70" s="923" t="s">
        <v>1535</v>
      </c>
      <c r="D70" s="924"/>
      <c r="E70" s="546">
        <v>500</v>
      </c>
      <c r="F70" s="546">
        <v>50</v>
      </c>
      <c r="G70" s="620">
        <f t="shared" si="14"/>
        <v>25000</v>
      </c>
      <c r="H70" s="629" t="s">
        <v>348</v>
      </c>
      <c r="I70" s="572" t="s">
        <v>75</v>
      </c>
      <c r="J70" s="621">
        <f>IF(AND(I70="Jah",H70="Osalise koormaga, nt 50% "),LOOKUP(C70,'HT-Transport (M3)'!$B$23:$B$46,'HT-Transport (M3)'!$C$23:$C$46),IF(AND(I70="Jah",H70="Täiskoorem"),LOOKUP(C70,'HT-Transport (M3)'!$B$23:$B$46,'HT-Transport (M3)'!$D$23:$D$46),IF(I70="Jah",LOOKUP(C70,'HT-Transport (M3)'!$B$23:$B$46,'HT-Transport (M3)'!$E$23:$E$46),"x ")))</f>
        <v>1.1425643230918673E-3</v>
      </c>
      <c r="K70" s="547"/>
      <c r="L70" s="289" t="str">
        <f>IF(ISBLANK(C70),"",IF(RIGHT(C70,7)="tonn-km","kg CO₂ ekv/tonn-km","kg CO₂ ekv/km"))</f>
        <v>kg CO₂ ekv/tonn-km</v>
      </c>
      <c r="M70" s="630" t="str">
        <f>IF(I70="Jah", LOOKUP(C70,'HT-Transport (M3)'!$B$23:$B$46,'HT-Transport (M3)'!$G$23:$G$46),IF(I70= "Ei", " "))</f>
        <v>Keskmine arvestuslik täiskoorma kaal 3,5 t (LIPASTO)</v>
      </c>
      <c r="N70" s="631"/>
      <c r="O70" s="632"/>
      <c r="P70" s="549">
        <f t="shared" si="16"/>
        <v>28.56410807729668</v>
      </c>
      <c r="Q70" s="549">
        <f t="shared" si="17"/>
        <v>2.8564108077296681E-2</v>
      </c>
      <c r="T70" s="618"/>
      <c r="U70" s="923"/>
      <c r="V70" s="924"/>
      <c r="W70" s="546"/>
      <c r="X70" s="546"/>
      <c r="Y70" s="620">
        <f t="shared" si="18"/>
        <v>0</v>
      </c>
      <c r="Z70" s="629"/>
      <c r="AA70" s="572" t="s">
        <v>75</v>
      </c>
      <c r="AB70" s="621" t="e">
        <f>IF(AND(AA70="Jah",Z70="Osalise koormaga, nt 50% "),LOOKUP(U70,'HT-Transport (M3)'!$B$23:$B$46,'HT-Transport (M3)'!$C$23:$C$46),IF(AND(AA70="Jah",Z70="Täiskoorem"),LOOKUP(U70,'HT-Transport (M3)'!$B$23:$B$46,'HT-Transport (M3)'!$D$23:$D$46),IF(AA70="Jah",LOOKUP(U70,'HT-Transport (M3)'!$B$23:$B$46,'HT-Transport (M3)'!$E$23:$E$46),"x ")))</f>
        <v>#N/A</v>
      </c>
      <c r="AC70" s="547"/>
      <c r="AD70" s="289" t="str">
        <f>IF(ISBLANK(U70),"",IF(RIGHT(U70,7)="tonn-km","kg CO₂ ekv/tonn-km","kg CO₂ ekv/km"))</f>
        <v/>
      </c>
      <c r="AE70" s="630" t="e">
        <f>IF(AA70="Jah", LOOKUP(U70,'HT-Transport (M3)'!$B$23:$B$46,'HT-Transport (M3)'!$G$23:$G$46),IF(AA70= "Ei", " "))</f>
        <v>#N/A</v>
      </c>
      <c r="AF70" s="631"/>
      <c r="AG70" s="632"/>
      <c r="AH70" s="549" t="e">
        <f t="shared" si="20"/>
        <v>#N/A</v>
      </c>
      <c r="AI70" s="549" t="e">
        <f t="shared" si="21"/>
        <v>#N/A</v>
      </c>
      <c r="AL70" s="618"/>
      <c r="AM70" s="923"/>
      <c r="AN70" s="924"/>
      <c r="AO70" s="546"/>
      <c r="AP70" s="546"/>
      <c r="AQ70" s="620">
        <f t="shared" si="22"/>
        <v>0</v>
      </c>
      <c r="AR70" s="629"/>
      <c r="AS70" s="572" t="s">
        <v>75</v>
      </c>
      <c r="AT70" s="621" t="e">
        <f>IF(AND(AS70="Jah",AR70="Osalise koormaga, nt 50% "),LOOKUP(AM70,'HT-Transport (M3)'!$B$23:$B$46,'HT-Transport (M3)'!$C$23:$C$46),IF(AND(AS70="Jah",AR70="Täiskoorem"),LOOKUP(AM70,'HT-Transport (M3)'!$B$23:$B$46,'HT-Transport (M3)'!$D$23:$D$46),IF(AS70="Jah",LOOKUP(AM70,'HT-Transport (M3)'!$B$23:$B$46,'HT-Transport (M3)'!$E$23:$E$46),"x ")))</f>
        <v>#N/A</v>
      </c>
      <c r="AU70" s="547"/>
      <c r="AV70" s="289" t="str">
        <f>IF(ISBLANK(AM70),"",IF(RIGHT(AM70,7)="tonn-km","kg CO₂ ekv/tonn-km","kg CO₂ ekv/km"))</f>
        <v/>
      </c>
      <c r="AW70" s="630" t="e">
        <f>IF(AS70="Jah", LOOKUP(AM70,'HT-Transport (M3)'!$B$23:$B$46,'HT-Transport (M3)'!$G$23:$G$46),IF(AS70= "Ei", " "))</f>
        <v>#N/A</v>
      </c>
      <c r="AX70" s="631"/>
      <c r="AY70" s="632"/>
      <c r="AZ70" s="549" t="e">
        <f t="shared" si="24"/>
        <v>#N/A</v>
      </c>
      <c r="BA70" s="549" t="e">
        <f t="shared" si="25"/>
        <v>#N/A</v>
      </c>
    </row>
    <row r="71" spans="1:54" ht="15" customHeight="1">
      <c r="B71" s="618"/>
      <c r="C71" s="923"/>
      <c r="D71" s="924"/>
      <c r="E71" s="546"/>
      <c r="F71" s="546"/>
      <c r="G71" s="620">
        <f t="shared" si="14"/>
        <v>0</v>
      </c>
      <c r="H71" s="629"/>
      <c r="I71" s="572" t="s">
        <v>75</v>
      </c>
      <c r="J71" s="621" t="e">
        <f>IF(AND(I71="Jah",H71="Osalise koormaga, nt 50% "),LOOKUP(C71,'HT-Transport (M3)'!$B$23:$B$46,'HT-Transport (M3)'!$C$23:$C$46),IF(AND(I71="Jah",H71="Täiskoorem"),LOOKUP(C71,'HT-Transport (M3)'!$B$23:$B$46,'HT-Transport (M3)'!$D$23:$D$46),IF(I71="Jah",LOOKUP(C71,'HT-Transport (M3)'!$B$23:$B$46,'HT-Transport (M3)'!$E$23:$E$46),"x ")))</f>
        <v>#N/A</v>
      </c>
      <c r="K71" s="547"/>
      <c r="L71" s="289" t="str">
        <f t="shared" si="15"/>
        <v/>
      </c>
      <c r="M71" s="630" t="e">
        <f>IF(I71="Jah", LOOKUP(C71,'HT-Transport (M3)'!$B$23:$B$46,'HT-Transport (M3)'!$G$23:$G$46),IF(I71= "Ei", " "))</f>
        <v>#N/A</v>
      </c>
      <c r="N71" s="631"/>
      <c r="O71" s="632"/>
      <c r="P71" s="549" t="e">
        <f t="shared" si="16"/>
        <v>#N/A</v>
      </c>
      <c r="Q71" s="549" t="e">
        <f t="shared" si="17"/>
        <v>#N/A</v>
      </c>
      <c r="T71" s="618"/>
      <c r="U71" s="923"/>
      <c r="V71" s="924"/>
      <c r="W71" s="546"/>
      <c r="X71" s="546"/>
      <c r="Y71" s="620">
        <f t="shared" si="18"/>
        <v>0</v>
      </c>
      <c r="Z71" s="629"/>
      <c r="AA71" s="572" t="s">
        <v>75</v>
      </c>
      <c r="AB71" s="621" t="e">
        <f>IF(AND(AA71="Jah",Z71="Osalise koormaga, nt 50% "),LOOKUP(U71,'HT-Transport (M3)'!$B$23:$B$46,'HT-Transport (M3)'!$C$23:$C$46),IF(AND(AA71="Jah",Z71="Täiskoorem"),LOOKUP(U71,'HT-Transport (M3)'!$B$23:$B$46,'HT-Transport (M3)'!$D$23:$D$46),IF(AA71="Jah",LOOKUP(U71,'HT-Transport (M3)'!$B$23:$B$46,'HT-Transport (M3)'!$E$23:$E$46),"x ")))</f>
        <v>#N/A</v>
      </c>
      <c r="AC71" s="547"/>
      <c r="AD71" s="289" t="str">
        <f t="shared" ref="AD71:AD77" si="26">IF(ISBLANK(U71),"",IF(RIGHT(U71,7)="tonn-km","kg CO₂ ekv/tonn-km","kg CO₂ ekv/km"))</f>
        <v/>
      </c>
      <c r="AE71" s="630" t="e">
        <f>IF(AA71="Jah", LOOKUP(U71,'HT-Transport (M3)'!$B$23:$B$46,'HT-Transport (M3)'!$G$23:$G$46),IF(AA71= "Ei", " "))</f>
        <v>#N/A</v>
      </c>
      <c r="AF71" s="631"/>
      <c r="AG71" s="632"/>
      <c r="AH71" s="549" t="e">
        <f t="shared" si="20"/>
        <v>#N/A</v>
      </c>
      <c r="AI71" s="549" t="e">
        <f t="shared" si="21"/>
        <v>#N/A</v>
      </c>
      <c r="AL71" s="618"/>
      <c r="AM71" s="923"/>
      <c r="AN71" s="924"/>
      <c r="AO71" s="546"/>
      <c r="AP71" s="546"/>
      <c r="AQ71" s="620">
        <f t="shared" si="22"/>
        <v>0</v>
      </c>
      <c r="AR71" s="629"/>
      <c r="AS71" s="572" t="s">
        <v>75</v>
      </c>
      <c r="AT71" s="621" t="e">
        <f>IF(AND(AS71="Jah",AR71="Osalise koormaga, nt 50% "),LOOKUP(AM71,'HT-Transport (M3)'!$B$23:$B$46,'HT-Transport (M3)'!$C$23:$C$46),IF(AND(AS71="Jah",AR71="Täiskoorem"),LOOKUP(AM71,'HT-Transport (M3)'!$B$23:$B$46,'HT-Transport (M3)'!$D$23:$D$46),IF(AS71="Jah",LOOKUP(AM71,'HT-Transport (M3)'!$B$23:$B$46,'HT-Transport (M3)'!$E$23:$E$46),"x ")))</f>
        <v>#N/A</v>
      </c>
      <c r="AU71" s="547"/>
      <c r="AV71" s="289" t="str">
        <f t="shared" ref="AV71:AV77" si="27">IF(ISBLANK(AM71),"",IF(RIGHT(AM71,7)="tonn-km","kg CO₂ ekv/tonn-km","kg CO₂ ekv/km"))</f>
        <v/>
      </c>
      <c r="AW71" s="630" t="e">
        <f>IF(AS71="Jah", LOOKUP(AM71,'HT-Transport (M3)'!$B$23:$B$46,'HT-Transport (M3)'!$G$23:$G$46),IF(AS71= "Ei", " "))</f>
        <v>#N/A</v>
      </c>
      <c r="AX71" s="631"/>
      <c r="AY71" s="632"/>
      <c r="AZ71" s="549" t="e">
        <f t="shared" si="24"/>
        <v>#N/A</v>
      </c>
      <c r="BA71" s="549" t="e">
        <f t="shared" si="25"/>
        <v>#N/A</v>
      </c>
    </row>
    <row r="72" spans="1:54" ht="15" customHeight="1">
      <c r="B72" s="618"/>
      <c r="C72" s="923"/>
      <c r="D72" s="924"/>
      <c r="E72" s="546"/>
      <c r="F72" s="546"/>
      <c r="G72" s="620">
        <f t="shared" si="14"/>
        <v>0</v>
      </c>
      <c r="H72" s="629"/>
      <c r="I72" s="572" t="s">
        <v>75</v>
      </c>
      <c r="J72" s="621" t="e">
        <f>IF(AND(I72="Jah",H72="Osalise koormaga, nt 50% "),LOOKUP(C72,'HT-Transport (M3)'!$B$23:$B$46,'HT-Transport (M3)'!$C$23:$C$46),IF(AND(I72="Jah",H72="Täiskoorem"),LOOKUP(C72,'HT-Transport (M3)'!$B$23:$B$46,'HT-Transport (M3)'!$D$23:$D$46),IF(I72="Jah",LOOKUP(C72,'HT-Transport (M3)'!$B$23:$B$46,'HT-Transport (M3)'!$E$23:$E$46),"x ")))</f>
        <v>#N/A</v>
      </c>
      <c r="K72" s="547"/>
      <c r="L72" s="289" t="str">
        <f t="shared" si="15"/>
        <v/>
      </c>
      <c r="M72" s="630" t="e">
        <f>IF(I72="Jah", LOOKUP(C72,'HT-Transport (M3)'!$B$23:$B$46,'HT-Transport (M3)'!$G$23:$G$46),IF(I72= "Ei", " "))</f>
        <v>#N/A</v>
      </c>
      <c r="N72" s="631"/>
      <c r="O72" s="632"/>
      <c r="P72" s="549" t="e">
        <f t="shared" si="16"/>
        <v>#N/A</v>
      </c>
      <c r="Q72" s="549" t="e">
        <f t="shared" si="17"/>
        <v>#N/A</v>
      </c>
      <c r="T72" s="618"/>
      <c r="U72" s="923"/>
      <c r="V72" s="924"/>
      <c r="W72" s="546"/>
      <c r="X72" s="546"/>
      <c r="Y72" s="620">
        <f t="shared" si="18"/>
        <v>0</v>
      </c>
      <c r="Z72" s="629"/>
      <c r="AA72" s="572" t="s">
        <v>75</v>
      </c>
      <c r="AB72" s="621" t="e">
        <f>IF(AND(AA72="Jah",Z72="Osalise koormaga, nt 50% "),LOOKUP(U72,'HT-Transport (M3)'!$B$23:$B$46,'HT-Transport (M3)'!$C$23:$C$46),IF(AND(AA72="Jah",Z72="Täiskoorem"),LOOKUP(U72,'HT-Transport (M3)'!$B$23:$B$46,'HT-Transport (M3)'!$D$23:$D$46),IF(AA72="Jah",LOOKUP(U72,'HT-Transport (M3)'!$B$23:$B$46,'HT-Transport (M3)'!$E$23:$E$46),"x ")))</f>
        <v>#N/A</v>
      </c>
      <c r="AC72" s="547"/>
      <c r="AD72" s="289" t="str">
        <f t="shared" si="26"/>
        <v/>
      </c>
      <c r="AE72" s="630" t="e">
        <f>IF(AA72="Jah", LOOKUP(U72,'HT-Transport (M3)'!$B$23:$B$46,'HT-Transport (M3)'!$G$23:$G$46),IF(AA72= "Ei", " "))</f>
        <v>#N/A</v>
      </c>
      <c r="AF72" s="631"/>
      <c r="AG72" s="632"/>
      <c r="AH72" s="549" t="e">
        <f t="shared" si="20"/>
        <v>#N/A</v>
      </c>
      <c r="AI72" s="549" t="e">
        <f t="shared" si="21"/>
        <v>#N/A</v>
      </c>
      <c r="AL72" s="618"/>
      <c r="AM72" s="923"/>
      <c r="AN72" s="924"/>
      <c r="AO72" s="546"/>
      <c r="AP72" s="546"/>
      <c r="AQ72" s="620">
        <f t="shared" si="22"/>
        <v>0</v>
      </c>
      <c r="AR72" s="629"/>
      <c r="AS72" s="572" t="s">
        <v>75</v>
      </c>
      <c r="AT72" s="621" t="e">
        <f>IF(AND(AS72="Jah",AR72="Osalise koormaga, nt 50% "),LOOKUP(AM72,'HT-Transport (M3)'!$B$23:$B$46,'HT-Transport (M3)'!$C$23:$C$46),IF(AND(AS72="Jah",AR72="Täiskoorem"),LOOKUP(AM72,'HT-Transport (M3)'!$B$23:$B$46,'HT-Transport (M3)'!$D$23:$D$46),IF(AS72="Jah",LOOKUP(AM72,'HT-Transport (M3)'!$B$23:$B$46,'HT-Transport (M3)'!$E$23:$E$46),"x ")))</f>
        <v>#N/A</v>
      </c>
      <c r="AU72" s="547"/>
      <c r="AV72" s="289" t="str">
        <f t="shared" si="27"/>
        <v/>
      </c>
      <c r="AW72" s="630" t="e">
        <f>IF(AS72="Jah", LOOKUP(AM72,'HT-Transport (M3)'!$B$23:$B$46,'HT-Transport (M3)'!$G$23:$G$46),IF(AS72= "Ei", " "))</f>
        <v>#N/A</v>
      </c>
      <c r="AX72" s="631"/>
      <c r="AY72" s="632"/>
      <c r="AZ72" s="549" t="e">
        <f t="shared" si="24"/>
        <v>#N/A</v>
      </c>
      <c r="BA72" s="549" t="e">
        <f t="shared" si="25"/>
        <v>#N/A</v>
      </c>
    </row>
    <row r="73" spans="1:54" ht="15" customHeight="1">
      <c r="B73" s="618"/>
      <c r="C73" s="923"/>
      <c r="D73" s="924"/>
      <c r="E73" s="546"/>
      <c r="F73" s="546"/>
      <c r="G73" s="620">
        <f t="shared" si="14"/>
        <v>0</v>
      </c>
      <c r="H73" s="629"/>
      <c r="I73" s="572" t="s">
        <v>75</v>
      </c>
      <c r="J73" s="621" t="e">
        <f>IF(AND(I73="Jah",H73="Osalise koormaga, nt 50% "),LOOKUP(C73,'HT-Transport (M3)'!$B$23:$B$46,'HT-Transport (M3)'!$C$23:$C$46),IF(AND(I73="Jah",H73="Täiskoorem"),LOOKUP(C73,'HT-Transport (M3)'!$B$23:$B$46,'HT-Transport (M3)'!$D$23:$D$46),IF(I73="Jah",LOOKUP(C73,'HT-Transport (M3)'!$B$23:$B$46,'HT-Transport (M3)'!$E$23:$E$46),"x ")))</f>
        <v>#N/A</v>
      </c>
      <c r="K73" s="547"/>
      <c r="L73" s="289" t="str">
        <f t="shared" si="15"/>
        <v/>
      </c>
      <c r="M73" s="630" t="e">
        <f>IF(I73="Jah", LOOKUP(C73,'HT-Transport (M3)'!$B$23:$B$46,'HT-Transport (M3)'!$G$23:$G$46),IF(I73= "Ei", " "))</f>
        <v>#N/A</v>
      </c>
      <c r="N73" s="631"/>
      <c r="O73" s="632"/>
      <c r="P73" s="549" t="e">
        <f t="shared" si="16"/>
        <v>#N/A</v>
      </c>
      <c r="Q73" s="549" t="e">
        <f t="shared" si="17"/>
        <v>#N/A</v>
      </c>
      <c r="T73" s="618"/>
      <c r="U73" s="923"/>
      <c r="V73" s="924"/>
      <c r="W73" s="546"/>
      <c r="X73" s="546"/>
      <c r="Y73" s="620">
        <f t="shared" si="18"/>
        <v>0</v>
      </c>
      <c r="Z73" s="629"/>
      <c r="AA73" s="572" t="s">
        <v>75</v>
      </c>
      <c r="AB73" s="621" t="e">
        <f>IF(AND(AA73="Jah",Z73="Osalise koormaga, nt 50% "),LOOKUP(U73,'HT-Transport (M3)'!$B$23:$B$46,'HT-Transport (M3)'!$C$23:$C$46),IF(AND(AA73="Jah",Z73="Täiskoorem"),LOOKUP(U73,'HT-Transport (M3)'!$B$23:$B$46,'HT-Transport (M3)'!$D$23:$D$46),IF(AA73="Jah",LOOKUP(U73,'HT-Transport (M3)'!$B$23:$B$46,'HT-Transport (M3)'!$E$23:$E$46),"x ")))</f>
        <v>#N/A</v>
      </c>
      <c r="AC73" s="547"/>
      <c r="AD73" s="289" t="str">
        <f t="shared" si="26"/>
        <v/>
      </c>
      <c r="AE73" s="630" t="e">
        <f>IF(AA73="Jah", LOOKUP(U73,'HT-Transport (M3)'!$B$23:$B$46,'HT-Transport (M3)'!$G$23:$G$46),IF(AA73= "Ei", " "))</f>
        <v>#N/A</v>
      </c>
      <c r="AF73" s="631"/>
      <c r="AG73" s="632"/>
      <c r="AH73" s="549" t="e">
        <f t="shared" si="20"/>
        <v>#N/A</v>
      </c>
      <c r="AI73" s="549" t="e">
        <f t="shared" si="21"/>
        <v>#N/A</v>
      </c>
      <c r="AL73" s="618"/>
      <c r="AM73" s="923"/>
      <c r="AN73" s="924"/>
      <c r="AO73" s="546"/>
      <c r="AP73" s="546"/>
      <c r="AQ73" s="620">
        <f t="shared" si="22"/>
        <v>0</v>
      </c>
      <c r="AR73" s="629"/>
      <c r="AS73" s="572" t="s">
        <v>75</v>
      </c>
      <c r="AT73" s="621" t="e">
        <f>IF(AND(AS73="Jah",AR73="Osalise koormaga, nt 50% "),LOOKUP(AM73,'HT-Transport (M3)'!$B$23:$B$46,'HT-Transport (M3)'!$C$23:$C$46),IF(AND(AS73="Jah",AR73="Täiskoorem"),LOOKUP(AM73,'HT-Transport (M3)'!$B$23:$B$46,'HT-Transport (M3)'!$D$23:$D$46),IF(AS73="Jah",LOOKUP(AM73,'HT-Transport (M3)'!$B$23:$B$46,'HT-Transport (M3)'!$E$23:$E$46),"x ")))</f>
        <v>#N/A</v>
      </c>
      <c r="AU73" s="547"/>
      <c r="AV73" s="289" t="str">
        <f t="shared" si="27"/>
        <v/>
      </c>
      <c r="AW73" s="630" t="e">
        <f>IF(AS73="Jah", LOOKUP(AM73,'HT-Transport (M3)'!$B$23:$B$46,'HT-Transport (M3)'!$G$23:$G$46),IF(AS73= "Ei", " "))</f>
        <v>#N/A</v>
      </c>
      <c r="AX73" s="631"/>
      <c r="AY73" s="632"/>
      <c r="AZ73" s="549" t="e">
        <f t="shared" si="24"/>
        <v>#N/A</v>
      </c>
      <c r="BA73" s="549" t="e">
        <f t="shared" si="25"/>
        <v>#N/A</v>
      </c>
    </row>
    <row r="74" spans="1:54" ht="15" customHeight="1">
      <c r="B74" s="618"/>
      <c r="C74" s="923"/>
      <c r="D74" s="924"/>
      <c r="E74" s="546"/>
      <c r="F74" s="546"/>
      <c r="G74" s="620">
        <f t="shared" si="14"/>
        <v>0</v>
      </c>
      <c r="H74" s="629"/>
      <c r="I74" s="572" t="s">
        <v>75</v>
      </c>
      <c r="J74" s="621" t="e">
        <f>IF(AND(I74="Jah",H74="Osalise koormaga, nt 50% "),LOOKUP(C74,'HT-Transport (M3)'!$B$23:$B$46,'HT-Transport (M3)'!$C$23:$C$46),IF(AND(I74="Jah",H74="Täiskoorem"),LOOKUP(C74,'HT-Transport (M3)'!$B$23:$B$46,'HT-Transport (M3)'!$D$23:$D$46),IF(I74="Jah",LOOKUP(C74,'HT-Transport (M3)'!$B$23:$B$46,'HT-Transport (M3)'!$E$23:$E$46),"x ")))</f>
        <v>#N/A</v>
      </c>
      <c r="K74" s="547"/>
      <c r="L74" s="289" t="str">
        <f t="shared" si="15"/>
        <v/>
      </c>
      <c r="M74" s="630" t="e">
        <f>IF(I74="Jah", LOOKUP(C74,'HT-Transport (M3)'!$B$23:$B$46,'HT-Transport (M3)'!$G$23:$G$46),IF(I74= "Ei", " "))</f>
        <v>#N/A</v>
      </c>
      <c r="N74" s="631"/>
      <c r="O74" s="632"/>
      <c r="P74" s="549" t="e">
        <f t="shared" si="16"/>
        <v>#N/A</v>
      </c>
      <c r="Q74" s="549" t="e">
        <f t="shared" si="17"/>
        <v>#N/A</v>
      </c>
      <c r="T74" s="618"/>
      <c r="U74" s="923"/>
      <c r="V74" s="924"/>
      <c r="W74" s="546"/>
      <c r="X74" s="546"/>
      <c r="Y74" s="620">
        <f t="shared" si="18"/>
        <v>0</v>
      </c>
      <c r="Z74" s="629"/>
      <c r="AA74" s="572" t="s">
        <v>75</v>
      </c>
      <c r="AB74" s="621" t="e">
        <f>IF(AND(AA74="Jah",Z74="Osalise koormaga, nt 50% "),LOOKUP(U74,'HT-Transport (M3)'!$B$23:$B$46,'HT-Transport (M3)'!$C$23:$C$46),IF(AND(AA74="Jah",Z74="Täiskoorem"),LOOKUP(U74,'HT-Transport (M3)'!$B$23:$B$46,'HT-Transport (M3)'!$D$23:$D$46),IF(AA74="Jah",LOOKUP(U74,'HT-Transport (M3)'!$B$23:$B$46,'HT-Transport (M3)'!$E$23:$E$46),"x ")))</f>
        <v>#N/A</v>
      </c>
      <c r="AC74" s="547"/>
      <c r="AD74" s="289" t="str">
        <f t="shared" si="26"/>
        <v/>
      </c>
      <c r="AE74" s="630" t="e">
        <f>IF(AA74="Jah", LOOKUP(U74,'HT-Transport (M3)'!$B$23:$B$46,'HT-Transport (M3)'!$G$23:$G$46),IF(AA74= "Ei", " "))</f>
        <v>#N/A</v>
      </c>
      <c r="AF74" s="631"/>
      <c r="AG74" s="632"/>
      <c r="AH74" s="549" t="e">
        <f t="shared" si="20"/>
        <v>#N/A</v>
      </c>
      <c r="AI74" s="549" t="e">
        <f t="shared" si="21"/>
        <v>#N/A</v>
      </c>
      <c r="AL74" s="618"/>
      <c r="AM74" s="923"/>
      <c r="AN74" s="924"/>
      <c r="AO74" s="546"/>
      <c r="AP74" s="546"/>
      <c r="AQ74" s="620">
        <f t="shared" si="22"/>
        <v>0</v>
      </c>
      <c r="AR74" s="629"/>
      <c r="AS74" s="572" t="s">
        <v>75</v>
      </c>
      <c r="AT74" s="621" t="e">
        <f>IF(AND(AS74="Jah",AR74="Osalise koormaga, nt 50% "),LOOKUP(AM74,'HT-Transport (M3)'!$B$23:$B$46,'HT-Transport (M3)'!$C$23:$C$46),IF(AND(AS74="Jah",AR74="Täiskoorem"),LOOKUP(AM74,'HT-Transport (M3)'!$B$23:$B$46,'HT-Transport (M3)'!$D$23:$D$46),IF(AS74="Jah",LOOKUP(AM74,'HT-Transport (M3)'!$B$23:$B$46,'HT-Transport (M3)'!$E$23:$E$46),"x ")))</f>
        <v>#N/A</v>
      </c>
      <c r="AU74" s="547"/>
      <c r="AV74" s="289" t="str">
        <f t="shared" si="27"/>
        <v/>
      </c>
      <c r="AW74" s="630" t="e">
        <f>IF(AS74="Jah", LOOKUP(AM74,'HT-Transport (M3)'!$B$23:$B$46,'HT-Transport (M3)'!$G$23:$G$46),IF(AS74= "Ei", " "))</f>
        <v>#N/A</v>
      </c>
      <c r="AX74" s="631"/>
      <c r="AY74" s="632"/>
      <c r="AZ74" s="549" t="e">
        <f t="shared" si="24"/>
        <v>#N/A</v>
      </c>
      <c r="BA74" s="549" t="e">
        <f t="shared" si="25"/>
        <v>#N/A</v>
      </c>
    </row>
    <row r="75" spans="1:54" ht="15" customHeight="1">
      <c r="B75" s="618"/>
      <c r="C75" s="923"/>
      <c r="D75" s="924"/>
      <c r="E75" s="546"/>
      <c r="F75" s="546"/>
      <c r="G75" s="620">
        <f t="shared" si="14"/>
        <v>0</v>
      </c>
      <c r="H75" s="629"/>
      <c r="I75" s="572" t="s">
        <v>75</v>
      </c>
      <c r="J75" s="621" t="e">
        <f>IF(AND(I75="Jah",H75="Osalise koormaga, nt 50% "),LOOKUP(C75,'HT-Transport (M3)'!$B$23:$B$46,'HT-Transport (M3)'!$C$23:$C$46),IF(AND(I75="Jah",H75="Täiskoorem"),LOOKUP(C75,'HT-Transport (M3)'!$B$23:$B$46,'HT-Transport (M3)'!$D$23:$D$46),IF(I75="Jah",LOOKUP(C75,'HT-Transport (M3)'!$B$23:$B$46,'HT-Transport (M3)'!$E$23:$E$46),"x ")))</f>
        <v>#N/A</v>
      </c>
      <c r="K75" s="547"/>
      <c r="L75" s="289" t="str">
        <f t="shared" si="15"/>
        <v/>
      </c>
      <c r="M75" s="630" t="e">
        <f>IF(I75="Jah", LOOKUP(C75,'HT-Transport (M3)'!$B$23:$B$46,'HT-Transport (M3)'!$G$23:$G$46),IF(I75= "Ei", " "))</f>
        <v>#N/A</v>
      </c>
      <c r="N75" s="631"/>
      <c r="O75" s="632"/>
      <c r="P75" s="549" t="e">
        <f t="shared" si="16"/>
        <v>#N/A</v>
      </c>
      <c r="Q75" s="549" t="e">
        <f t="shared" si="17"/>
        <v>#N/A</v>
      </c>
      <c r="T75" s="618"/>
      <c r="U75" s="923"/>
      <c r="V75" s="924"/>
      <c r="W75" s="546"/>
      <c r="X75" s="546"/>
      <c r="Y75" s="620">
        <f t="shared" si="18"/>
        <v>0</v>
      </c>
      <c r="Z75" s="629"/>
      <c r="AA75" s="572" t="s">
        <v>75</v>
      </c>
      <c r="AB75" s="621" t="e">
        <f>IF(AND(AA75="Jah",Z75="Osalise koormaga, nt 50% "),LOOKUP(U75,'HT-Transport (M3)'!$B$23:$B$46,'HT-Transport (M3)'!$C$23:$C$46),IF(AND(AA75="Jah",Z75="Täiskoorem"),LOOKUP(U75,'HT-Transport (M3)'!$B$23:$B$46,'HT-Transport (M3)'!$D$23:$D$46),IF(AA75="Jah",LOOKUP(U75,'HT-Transport (M3)'!$B$23:$B$46,'HT-Transport (M3)'!$E$23:$E$46),"x ")))</f>
        <v>#N/A</v>
      </c>
      <c r="AC75" s="547"/>
      <c r="AD75" s="289" t="str">
        <f t="shared" si="26"/>
        <v/>
      </c>
      <c r="AE75" s="630" t="e">
        <f>IF(AA75="Jah", LOOKUP(U75,'HT-Transport (M3)'!$B$23:$B$46,'HT-Transport (M3)'!$G$23:$G$46),IF(AA75= "Ei", " "))</f>
        <v>#N/A</v>
      </c>
      <c r="AF75" s="631"/>
      <c r="AG75" s="632"/>
      <c r="AH75" s="549" t="e">
        <f t="shared" si="20"/>
        <v>#N/A</v>
      </c>
      <c r="AI75" s="549" t="e">
        <f t="shared" si="21"/>
        <v>#N/A</v>
      </c>
      <c r="AL75" s="618"/>
      <c r="AM75" s="923"/>
      <c r="AN75" s="924"/>
      <c r="AO75" s="546"/>
      <c r="AP75" s="546"/>
      <c r="AQ75" s="620">
        <f t="shared" si="22"/>
        <v>0</v>
      </c>
      <c r="AR75" s="629"/>
      <c r="AS75" s="572" t="s">
        <v>75</v>
      </c>
      <c r="AT75" s="621" t="e">
        <f>IF(AND(AS75="Jah",AR75="Osalise koormaga, nt 50% "),LOOKUP(AM75,'HT-Transport (M3)'!$B$23:$B$46,'HT-Transport (M3)'!$C$23:$C$46),IF(AND(AS75="Jah",AR75="Täiskoorem"),LOOKUP(AM75,'HT-Transport (M3)'!$B$23:$B$46,'HT-Transport (M3)'!$D$23:$D$46),IF(AS75="Jah",LOOKUP(AM75,'HT-Transport (M3)'!$B$23:$B$46,'HT-Transport (M3)'!$E$23:$E$46),"x ")))</f>
        <v>#N/A</v>
      </c>
      <c r="AU75" s="547"/>
      <c r="AV75" s="289" t="str">
        <f t="shared" si="27"/>
        <v/>
      </c>
      <c r="AW75" s="630" t="e">
        <f>IF(AS75="Jah", LOOKUP(AM75,'HT-Transport (M3)'!$B$23:$B$46,'HT-Transport (M3)'!$G$23:$G$46),IF(AS75= "Ei", " "))</f>
        <v>#N/A</v>
      </c>
      <c r="AX75" s="631"/>
      <c r="AY75" s="632"/>
      <c r="AZ75" s="549" t="e">
        <f t="shared" si="24"/>
        <v>#N/A</v>
      </c>
      <c r="BA75" s="549" t="e">
        <f t="shared" si="25"/>
        <v>#N/A</v>
      </c>
    </row>
    <row r="76" spans="1:54" ht="15" customHeight="1">
      <c r="B76" s="618"/>
      <c r="C76" s="923"/>
      <c r="D76" s="924"/>
      <c r="E76" s="546"/>
      <c r="F76" s="546"/>
      <c r="G76" s="620">
        <f t="shared" si="14"/>
        <v>0</v>
      </c>
      <c r="H76" s="629"/>
      <c r="I76" s="572" t="s">
        <v>75</v>
      </c>
      <c r="J76" s="621" t="e">
        <f>IF(AND(I76="Jah",H76="Osalise koormaga, nt 50% "),LOOKUP(C76,'HT-Transport (M3)'!$B$23:$B$46,'HT-Transport (M3)'!$C$23:$C$46),IF(AND(I76="Jah",H76="Täiskoorem"),LOOKUP(C76,'HT-Transport (M3)'!$B$23:$B$46,'HT-Transport (M3)'!$D$23:$D$46),IF(I76="Jah",LOOKUP(C76,'HT-Transport (M3)'!$B$23:$B$46,'HT-Transport (M3)'!$E$23:$E$46),"x ")))</f>
        <v>#N/A</v>
      </c>
      <c r="K76" s="547"/>
      <c r="L76" s="289" t="str">
        <f t="shared" si="15"/>
        <v/>
      </c>
      <c r="M76" s="630" t="e">
        <f>IF(I76="Jah", LOOKUP(C76,'HT-Transport (M3)'!$B$23:$B$46,'HT-Transport (M3)'!$G$23:$G$46),IF(I76= "Ei", " "))</f>
        <v>#N/A</v>
      </c>
      <c r="N76" s="631"/>
      <c r="O76" s="632"/>
      <c r="P76" s="549" t="e">
        <f t="shared" si="16"/>
        <v>#N/A</v>
      </c>
      <c r="Q76" s="549" t="e">
        <f t="shared" si="17"/>
        <v>#N/A</v>
      </c>
      <c r="T76" s="618"/>
      <c r="U76" s="923"/>
      <c r="V76" s="924"/>
      <c r="W76" s="546"/>
      <c r="X76" s="546"/>
      <c r="Y76" s="620">
        <f t="shared" si="18"/>
        <v>0</v>
      </c>
      <c r="Z76" s="629"/>
      <c r="AA76" s="572" t="s">
        <v>75</v>
      </c>
      <c r="AB76" s="621" t="e">
        <f>IF(AND(AA76="Jah",Z76="Osalise koormaga, nt 50% "),LOOKUP(U76,'HT-Transport (M3)'!$B$23:$B$46,'HT-Transport (M3)'!$C$23:$C$46),IF(AND(AA76="Jah",Z76="Täiskoorem"),LOOKUP(U76,'HT-Transport (M3)'!$B$23:$B$46,'HT-Transport (M3)'!$D$23:$D$46),IF(AA76="Jah",LOOKUP(U76,'HT-Transport (M3)'!$B$23:$B$46,'HT-Transport (M3)'!$E$23:$E$46),"x ")))</f>
        <v>#N/A</v>
      </c>
      <c r="AC76" s="547"/>
      <c r="AD76" s="289" t="str">
        <f t="shared" si="26"/>
        <v/>
      </c>
      <c r="AE76" s="630" t="e">
        <f>IF(AA76="Jah", LOOKUP(U76,'HT-Transport (M3)'!$B$23:$B$46,'HT-Transport (M3)'!$G$23:$G$46),IF(AA76= "Ei", " "))</f>
        <v>#N/A</v>
      </c>
      <c r="AF76" s="631"/>
      <c r="AG76" s="632"/>
      <c r="AH76" s="549" t="e">
        <f t="shared" si="20"/>
        <v>#N/A</v>
      </c>
      <c r="AI76" s="549" t="e">
        <f t="shared" si="21"/>
        <v>#N/A</v>
      </c>
      <c r="AL76" s="618"/>
      <c r="AM76" s="923"/>
      <c r="AN76" s="924"/>
      <c r="AO76" s="546"/>
      <c r="AP76" s="546"/>
      <c r="AQ76" s="620">
        <f t="shared" si="22"/>
        <v>0</v>
      </c>
      <c r="AR76" s="629"/>
      <c r="AS76" s="572" t="s">
        <v>75</v>
      </c>
      <c r="AT76" s="621" t="e">
        <f>IF(AND(AS76="Jah",AR76="Osalise koormaga, nt 50% "),LOOKUP(AM76,'HT-Transport (M3)'!$B$23:$B$46,'HT-Transport (M3)'!$C$23:$C$46),IF(AND(AS76="Jah",AR76="Täiskoorem"),LOOKUP(AM76,'HT-Transport (M3)'!$B$23:$B$46,'HT-Transport (M3)'!$D$23:$D$46),IF(AS76="Jah",LOOKUP(AM76,'HT-Transport (M3)'!$B$23:$B$46,'HT-Transport (M3)'!$E$23:$E$46),"x ")))</f>
        <v>#N/A</v>
      </c>
      <c r="AU76" s="547"/>
      <c r="AV76" s="289" t="str">
        <f t="shared" si="27"/>
        <v/>
      </c>
      <c r="AW76" s="630" t="e">
        <f>IF(AS76="Jah", LOOKUP(AM76,'HT-Transport (M3)'!$B$23:$B$46,'HT-Transport (M3)'!$G$23:$G$46),IF(AS76= "Ei", " "))</f>
        <v>#N/A</v>
      </c>
      <c r="AX76" s="631"/>
      <c r="AY76" s="632"/>
      <c r="AZ76" s="549" t="e">
        <f t="shared" si="24"/>
        <v>#N/A</v>
      </c>
      <c r="BA76" s="549" t="e">
        <f t="shared" si="25"/>
        <v>#N/A</v>
      </c>
    </row>
    <row r="77" spans="1:54" ht="15" customHeight="1">
      <c r="B77" s="618"/>
      <c r="C77" s="923"/>
      <c r="D77" s="924"/>
      <c r="E77" s="550"/>
      <c r="F77" s="550"/>
      <c r="G77" s="624">
        <f t="shared" si="14"/>
        <v>0</v>
      </c>
      <c r="H77" s="633"/>
      <c r="I77" s="576" t="s">
        <v>75</v>
      </c>
      <c r="J77" s="621" t="e">
        <f>IF(AND(I77="Jah",H77="Osalise koormaga, nt 50% "),LOOKUP(C77,'HT-Transport (M3)'!$B$23:$B$46,'HT-Transport (M3)'!$C$23:$C$46),IF(AND(I77="Jah",H77="Täiskoorem"),LOOKUP(C77,'HT-Transport (M3)'!$B$23:$B$46,'HT-Transport (M3)'!$D$23:$D$46),IF(I77="Jah",LOOKUP(C77,'HT-Transport (M3)'!$B$23:$B$46,'HT-Transport (M3)'!$E$23:$E$46),"x ")))</f>
        <v>#N/A</v>
      </c>
      <c r="K77" s="553"/>
      <c r="L77" s="289" t="str">
        <f t="shared" si="15"/>
        <v/>
      </c>
      <c r="M77" s="630" t="e">
        <f>IF(I77="Jah", LOOKUP(C77,'HT-Transport (M3)'!$B$23:$B$46,'HT-Transport (M3)'!$G$23:$G$46),IF(I77= "Ei", " "))</f>
        <v>#N/A</v>
      </c>
      <c r="N77" s="634"/>
      <c r="O77" s="635"/>
      <c r="P77" s="549" t="e">
        <f t="shared" si="16"/>
        <v>#N/A</v>
      </c>
      <c r="Q77" s="549" t="e">
        <f t="shared" si="17"/>
        <v>#N/A</v>
      </c>
      <c r="T77" s="618"/>
      <c r="U77" s="923"/>
      <c r="V77" s="924"/>
      <c r="W77" s="550"/>
      <c r="X77" s="550"/>
      <c r="Y77" s="624">
        <f t="shared" si="18"/>
        <v>0</v>
      </c>
      <c r="Z77" s="633"/>
      <c r="AA77" s="576" t="s">
        <v>75</v>
      </c>
      <c r="AB77" s="621" t="e">
        <f>IF(AND(AA77="Jah",Z77="Osalise koormaga, nt 50% "),LOOKUP(U77,'HT-Transport (M3)'!$B$23:$B$46,'HT-Transport (M3)'!$C$23:$C$46),IF(AND(AA77="Jah",Z77="Täiskoorem"),LOOKUP(U77,'HT-Transport (M3)'!$B$23:$B$46,'HT-Transport (M3)'!$D$23:$D$46),IF(AA77="Jah",LOOKUP(U77,'HT-Transport (M3)'!$B$23:$B$46,'HT-Transport (M3)'!$E$23:$E$46),"x ")))</f>
        <v>#N/A</v>
      </c>
      <c r="AC77" s="553"/>
      <c r="AD77" s="289" t="str">
        <f t="shared" si="26"/>
        <v/>
      </c>
      <c r="AE77" s="630" t="e">
        <f>IF(AA77="Jah", LOOKUP(U77,'HT-Transport (M3)'!$B$23:$B$46,'HT-Transport (M3)'!$G$23:$G$46),IF(AA77= "Ei", " "))</f>
        <v>#N/A</v>
      </c>
      <c r="AF77" s="634"/>
      <c r="AG77" s="635"/>
      <c r="AH77" s="549" t="e">
        <f t="shared" si="20"/>
        <v>#N/A</v>
      </c>
      <c r="AI77" s="549" t="e">
        <f t="shared" si="21"/>
        <v>#N/A</v>
      </c>
      <c r="AL77" s="618"/>
      <c r="AM77" s="923"/>
      <c r="AN77" s="924"/>
      <c r="AO77" s="550"/>
      <c r="AP77" s="550"/>
      <c r="AQ77" s="624">
        <f t="shared" si="22"/>
        <v>0</v>
      </c>
      <c r="AR77" s="633"/>
      <c r="AS77" s="576" t="s">
        <v>75</v>
      </c>
      <c r="AT77" s="621" t="e">
        <f>IF(AND(AS77="Jah",AR77="Osalise koormaga, nt 50% "),LOOKUP(AM77,'HT-Transport (M3)'!$B$23:$B$46,'HT-Transport (M3)'!$C$23:$C$46),IF(AND(AS77="Jah",AR77="Täiskoorem"),LOOKUP(AM77,'HT-Transport (M3)'!$B$23:$B$46,'HT-Transport (M3)'!$D$23:$D$46),IF(AS77="Jah",LOOKUP(AM77,'HT-Transport (M3)'!$B$23:$B$46,'HT-Transport (M3)'!$E$23:$E$46),"x ")))</f>
        <v>#N/A</v>
      </c>
      <c r="AU77" s="553"/>
      <c r="AV77" s="289" t="str">
        <f t="shared" si="27"/>
        <v/>
      </c>
      <c r="AW77" s="630" t="e">
        <f>IF(AS77="Jah", LOOKUP(AM77,'HT-Transport (M3)'!$B$23:$B$46,'HT-Transport (M3)'!$G$23:$G$46),IF(AS77= "Ei", " "))</f>
        <v>#N/A</v>
      </c>
      <c r="AX77" s="634"/>
      <c r="AY77" s="635"/>
      <c r="AZ77" s="549" t="e">
        <f t="shared" si="24"/>
        <v>#N/A</v>
      </c>
      <c r="BA77" s="549" t="e">
        <f t="shared" si="25"/>
        <v>#N/A</v>
      </c>
    </row>
    <row r="78" spans="1:54" ht="15" customHeight="1">
      <c r="B78" s="536"/>
      <c r="C78" s="537"/>
      <c r="D78" s="537"/>
      <c r="E78" s="537"/>
      <c r="F78" s="537"/>
      <c r="G78" s="537"/>
      <c r="H78" s="537"/>
      <c r="I78" s="537"/>
      <c r="J78" s="537"/>
      <c r="K78" s="537"/>
      <c r="L78" s="537"/>
      <c r="M78" s="537"/>
      <c r="N78" s="538"/>
      <c r="O78" s="592" t="s">
        <v>1592</v>
      </c>
      <c r="P78" s="627">
        <f>SUMIF(P68:P77,"&lt;&gt;#N/A")</f>
        <v>37997.827835342083</v>
      </c>
      <c r="Q78" s="593">
        <f>SUMIF(Q68:Q77,"&lt;&gt;#N/A")</f>
        <v>37.997827835342086</v>
      </c>
      <c r="T78" s="536"/>
      <c r="U78" s="537"/>
      <c r="V78" s="537"/>
      <c r="W78" s="537"/>
      <c r="X78" s="537"/>
      <c r="Y78" s="537"/>
      <c r="Z78" s="537"/>
      <c r="AA78" s="537"/>
      <c r="AB78" s="537"/>
      <c r="AC78" s="537"/>
      <c r="AD78" s="537"/>
      <c r="AE78" s="537"/>
      <c r="AF78" s="538"/>
      <c r="AG78" s="592" t="s">
        <v>1592</v>
      </c>
      <c r="AH78" s="627">
        <f>SUMIF(AH68:AH77,"&lt;&gt;#N/A")</f>
        <v>0</v>
      </c>
      <c r="AI78" s="593">
        <f>SUMIF(AI68:AI77,"&lt;&gt;#N/A")</f>
        <v>0</v>
      </c>
      <c r="AL78" s="536"/>
      <c r="AM78" s="537"/>
      <c r="AN78" s="537"/>
      <c r="AO78" s="537"/>
      <c r="AP78" s="537"/>
      <c r="AQ78" s="537"/>
      <c r="AR78" s="537"/>
      <c r="AS78" s="537"/>
      <c r="AT78" s="537"/>
      <c r="AU78" s="537"/>
      <c r="AV78" s="537"/>
      <c r="AW78" s="537"/>
      <c r="AX78" s="538"/>
      <c r="AY78" s="592" t="s">
        <v>1592</v>
      </c>
      <c r="AZ78" s="627">
        <f>SUMIF(AZ68:AZ77,"&lt;&gt;#N/A")</f>
        <v>0</v>
      </c>
      <c r="BA78" s="593">
        <f>SUMIF(BA68:BA77,"&lt;&gt;#N/A")</f>
        <v>0</v>
      </c>
    </row>
    <row r="79" spans="1:54" ht="15" customHeight="1">
      <c r="F79" s="297"/>
      <c r="H79" s="297"/>
      <c r="P79" s="636"/>
      <c r="Q79" s="636"/>
      <c r="R79" s="637"/>
      <c r="S79" s="637"/>
      <c r="AH79" s="636"/>
      <c r="AI79" s="636"/>
      <c r="AJ79" s="637"/>
      <c r="AZ79" s="636"/>
      <c r="BA79" s="636"/>
      <c r="BB79" s="637"/>
    </row>
    <row r="80" spans="1:54" ht="15" customHeight="1">
      <c r="F80" s="297"/>
      <c r="H80" s="297"/>
    </row>
    <row r="81" spans="1:53" s="302" customFormat="1" ht="15" customHeight="1">
      <c r="B81" s="308" t="s">
        <v>1621</v>
      </c>
      <c r="C81" s="543"/>
      <c r="D81" s="543"/>
      <c r="E81" s="617"/>
      <c r="F81" s="543"/>
      <c r="G81" s="543"/>
      <c r="H81" s="543"/>
      <c r="I81" s="543"/>
      <c r="J81" s="543"/>
      <c r="K81" s="543"/>
      <c r="L81" s="543"/>
      <c r="M81" s="543"/>
      <c r="N81" s="543"/>
      <c r="O81" s="543"/>
      <c r="P81" s="543"/>
      <c r="Q81" s="638"/>
      <c r="T81" s="308" t="s">
        <v>1621</v>
      </c>
      <c r="U81" s="543"/>
      <c r="V81" s="543"/>
      <c r="W81" s="617"/>
      <c r="X81" s="543"/>
      <c r="Y81" s="543"/>
      <c r="Z81" s="543"/>
      <c r="AA81" s="543"/>
      <c r="AB81" s="543"/>
      <c r="AC81" s="543"/>
      <c r="AD81" s="543"/>
      <c r="AE81" s="543"/>
      <c r="AF81" s="543"/>
      <c r="AG81" s="543"/>
      <c r="AH81" s="543"/>
      <c r="AI81" s="638"/>
      <c r="AK81" s="297"/>
      <c r="AL81" s="308" t="s">
        <v>1621</v>
      </c>
      <c r="AM81" s="543"/>
      <c r="AN81" s="543"/>
      <c r="AO81" s="617"/>
      <c r="AP81" s="543"/>
      <c r="AQ81" s="543"/>
      <c r="AR81" s="543"/>
      <c r="AS81" s="543"/>
      <c r="AT81" s="543"/>
      <c r="AU81" s="543"/>
      <c r="AV81" s="543"/>
      <c r="AW81" s="543"/>
      <c r="AX81" s="543"/>
      <c r="AY81" s="543"/>
      <c r="AZ81" s="543"/>
      <c r="BA81" s="638"/>
    </row>
    <row r="82" spans="1:53" s="302" customFormat="1" ht="15" customHeight="1">
      <c r="B82" s="320" t="s">
        <v>1626</v>
      </c>
      <c r="C82" s="321"/>
      <c r="D82" s="321"/>
      <c r="E82" s="321"/>
      <c r="F82" s="321"/>
      <c r="G82" s="321"/>
      <c r="H82" s="639"/>
      <c r="I82" s="321"/>
      <c r="J82" s="321"/>
      <c r="K82" s="321"/>
      <c r="L82" s="321"/>
      <c r="M82" s="321"/>
      <c r="N82" s="321"/>
      <c r="O82" s="321"/>
      <c r="P82" s="321"/>
      <c r="Q82" s="322"/>
      <c r="T82" s="320" t="s">
        <v>1626</v>
      </c>
      <c r="U82" s="321"/>
      <c r="V82" s="321"/>
      <c r="W82" s="321"/>
      <c r="X82" s="321"/>
      <c r="Y82" s="321"/>
      <c r="Z82" s="639"/>
      <c r="AA82" s="321"/>
      <c r="AB82" s="321"/>
      <c r="AC82" s="321"/>
      <c r="AD82" s="321"/>
      <c r="AE82" s="321"/>
      <c r="AF82" s="321"/>
      <c r="AG82" s="321"/>
      <c r="AH82" s="321"/>
      <c r="AI82" s="322"/>
      <c r="AK82" s="297"/>
      <c r="AL82" s="320" t="s">
        <v>1626</v>
      </c>
      <c r="AM82" s="321"/>
      <c r="AN82" s="321"/>
      <c r="AO82" s="321"/>
      <c r="AP82" s="321"/>
      <c r="AQ82" s="321"/>
      <c r="AR82" s="639"/>
      <c r="AS82" s="321"/>
      <c r="AT82" s="321"/>
      <c r="AU82" s="321"/>
      <c r="AV82" s="321"/>
      <c r="AW82" s="321"/>
      <c r="AX82" s="321"/>
      <c r="AY82" s="321"/>
      <c r="AZ82" s="321"/>
      <c r="BA82" s="322"/>
    </row>
    <row r="83" spans="1:53" ht="15" customHeight="1">
      <c r="A83" s="297"/>
      <c r="B83" s="925" t="s">
        <v>57</v>
      </c>
      <c r="C83" s="908" t="s">
        <v>1627</v>
      </c>
      <c r="D83" s="909"/>
      <c r="E83" s="925" t="s">
        <v>111</v>
      </c>
      <c r="F83" s="914" t="s">
        <v>107</v>
      </c>
      <c r="G83" s="914" t="s">
        <v>1597</v>
      </c>
      <c r="H83" s="914" t="s">
        <v>108</v>
      </c>
      <c r="I83" s="914" t="s">
        <v>68</v>
      </c>
      <c r="J83" s="914" t="s">
        <v>1532</v>
      </c>
      <c r="K83" s="914" t="s">
        <v>70</v>
      </c>
      <c r="L83" s="925" t="s">
        <v>81</v>
      </c>
      <c r="M83" s="908" t="s">
        <v>71</v>
      </c>
      <c r="N83" s="941"/>
      <c r="O83" s="909"/>
      <c r="P83" s="916" t="s">
        <v>86</v>
      </c>
      <c r="Q83" s="917"/>
      <c r="T83" s="925" t="s">
        <v>57</v>
      </c>
      <c r="U83" s="908" t="s">
        <v>1627</v>
      </c>
      <c r="V83" s="909"/>
      <c r="W83" s="914" t="s">
        <v>106</v>
      </c>
      <c r="X83" s="914" t="s">
        <v>107</v>
      </c>
      <c r="Y83" s="914" t="s">
        <v>1597</v>
      </c>
      <c r="Z83" s="914" t="s">
        <v>108</v>
      </c>
      <c r="AA83" s="914" t="s">
        <v>68</v>
      </c>
      <c r="AB83" s="914" t="s">
        <v>1532</v>
      </c>
      <c r="AC83" s="914" t="s">
        <v>70</v>
      </c>
      <c r="AD83" s="925" t="s">
        <v>81</v>
      </c>
      <c r="AE83" s="908" t="s">
        <v>71</v>
      </c>
      <c r="AF83" s="941"/>
      <c r="AG83" s="909"/>
      <c r="AH83" s="916" t="s">
        <v>86</v>
      </c>
      <c r="AI83" s="917"/>
      <c r="AL83" s="925" t="s">
        <v>57</v>
      </c>
      <c r="AM83" s="908" t="s">
        <v>1627</v>
      </c>
      <c r="AN83" s="909"/>
      <c r="AO83" s="914" t="s">
        <v>106</v>
      </c>
      <c r="AP83" s="914" t="s">
        <v>107</v>
      </c>
      <c r="AQ83" s="914" t="s">
        <v>1597</v>
      </c>
      <c r="AR83" s="914" t="s">
        <v>108</v>
      </c>
      <c r="AS83" s="914" t="s">
        <v>68</v>
      </c>
      <c r="AT83" s="914" t="s">
        <v>1532</v>
      </c>
      <c r="AU83" s="914" t="s">
        <v>70</v>
      </c>
      <c r="AV83" s="925" t="s">
        <v>81</v>
      </c>
      <c r="AW83" s="908" t="s">
        <v>71</v>
      </c>
      <c r="AX83" s="941"/>
      <c r="AY83" s="909"/>
      <c r="AZ83" s="916" t="s">
        <v>86</v>
      </c>
      <c r="BA83" s="917"/>
    </row>
    <row r="84" spans="1:53" ht="15" customHeight="1">
      <c r="A84" s="297"/>
      <c r="B84" s="926"/>
      <c r="C84" s="928"/>
      <c r="D84" s="929"/>
      <c r="E84" s="926"/>
      <c r="F84" s="915"/>
      <c r="G84" s="915"/>
      <c r="H84" s="915"/>
      <c r="I84" s="915"/>
      <c r="J84" s="915"/>
      <c r="K84" s="915"/>
      <c r="L84" s="926"/>
      <c r="M84" s="928"/>
      <c r="N84" s="942"/>
      <c r="O84" s="929"/>
      <c r="P84" s="918"/>
      <c r="Q84" s="919"/>
      <c r="T84" s="926"/>
      <c r="U84" s="928"/>
      <c r="V84" s="929"/>
      <c r="W84" s="915"/>
      <c r="X84" s="915"/>
      <c r="Y84" s="915"/>
      <c r="Z84" s="915"/>
      <c r="AA84" s="915"/>
      <c r="AB84" s="915"/>
      <c r="AC84" s="915"/>
      <c r="AD84" s="926"/>
      <c r="AE84" s="928"/>
      <c r="AF84" s="942"/>
      <c r="AG84" s="929"/>
      <c r="AH84" s="918"/>
      <c r="AI84" s="919"/>
      <c r="AL84" s="926"/>
      <c r="AM84" s="928"/>
      <c r="AN84" s="929"/>
      <c r="AO84" s="915"/>
      <c r="AP84" s="915"/>
      <c r="AQ84" s="915"/>
      <c r="AR84" s="915"/>
      <c r="AS84" s="915"/>
      <c r="AT84" s="915"/>
      <c r="AU84" s="915"/>
      <c r="AV84" s="926"/>
      <c r="AW84" s="928"/>
      <c r="AX84" s="942"/>
      <c r="AY84" s="929"/>
      <c r="AZ84" s="918"/>
      <c r="BA84" s="919"/>
    </row>
    <row r="85" spans="1:53" ht="15" customHeight="1">
      <c r="A85" s="297"/>
      <c r="B85" s="926"/>
      <c r="C85" s="928"/>
      <c r="D85" s="929"/>
      <c r="E85" s="926"/>
      <c r="F85" s="915"/>
      <c r="G85" s="915"/>
      <c r="H85" s="915"/>
      <c r="I85" s="922"/>
      <c r="J85" s="915"/>
      <c r="K85" s="915"/>
      <c r="L85" s="926"/>
      <c r="M85" s="928"/>
      <c r="N85" s="942"/>
      <c r="O85" s="929"/>
      <c r="P85" s="920"/>
      <c r="Q85" s="921"/>
      <c r="T85" s="926"/>
      <c r="U85" s="928"/>
      <c r="V85" s="929"/>
      <c r="W85" s="915"/>
      <c r="X85" s="915"/>
      <c r="Y85" s="915"/>
      <c r="Z85" s="915"/>
      <c r="AA85" s="922"/>
      <c r="AB85" s="915"/>
      <c r="AC85" s="915"/>
      <c r="AD85" s="926"/>
      <c r="AE85" s="928"/>
      <c r="AF85" s="942"/>
      <c r="AG85" s="929"/>
      <c r="AH85" s="920"/>
      <c r="AI85" s="921"/>
      <c r="AL85" s="926"/>
      <c r="AM85" s="928"/>
      <c r="AN85" s="929"/>
      <c r="AO85" s="915"/>
      <c r="AP85" s="915"/>
      <c r="AQ85" s="915"/>
      <c r="AR85" s="915"/>
      <c r="AS85" s="922"/>
      <c r="AT85" s="915"/>
      <c r="AU85" s="915"/>
      <c r="AV85" s="926"/>
      <c r="AW85" s="928"/>
      <c r="AX85" s="942"/>
      <c r="AY85" s="929"/>
      <c r="AZ85" s="920"/>
      <c r="BA85" s="921"/>
    </row>
    <row r="86" spans="1:53" s="365" customFormat="1" ht="15" customHeight="1">
      <c r="A86" s="297"/>
      <c r="B86" s="927"/>
      <c r="C86" s="910"/>
      <c r="D86" s="911"/>
      <c r="E86" s="927"/>
      <c r="F86" s="922"/>
      <c r="G86" s="922"/>
      <c r="H86" s="922"/>
      <c r="I86" s="571" t="s">
        <v>73</v>
      </c>
      <c r="J86" s="922"/>
      <c r="K86" s="922"/>
      <c r="L86" s="927"/>
      <c r="M86" s="910"/>
      <c r="N86" s="943"/>
      <c r="O86" s="911"/>
      <c r="P86" s="545" t="s">
        <v>2085</v>
      </c>
      <c r="Q86" s="545" t="s">
        <v>2086</v>
      </c>
      <c r="T86" s="927"/>
      <c r="U86" s="910"/>
      <c r="V86" s="911"/>
      <c r="W86" s="922"/>
      <c r="X86" s="922"/>
      <c r="Y86" s="922"/>
      <c r="Z86" s="922"/>
      <c r="AA86" s="571" t="s">
        <v>73</v>
      </c>
      <c r="AB86" s="922"/>
      <c r="AC86" s="922"/>
      <c r="AD86" s="927"/>
      <c r="AE86" s="910"/>
      <c r="AF86" s="943"/>
      <c r="AG86" s="911"/>
      <c r="AH86" s="545" t="s">
        <v>2085</v>
      </c>
      <c r="AI86" s="545" t="s">
        <v>2086</v>
      </c>
      <c r="AK86" s="297"/>
      <c r="AL86" s="927"/>
      <c r="AM86" s="910"/>
      <c r="AN86" s="911"/>
      <c r="AO86" s="922"/>
      <c r="AP86" s="922"/>
      <c r="AQ86" s="922"/>
      <c r="AR86" s="922"/>
      <c r="AS86" s="571" t="s">
        <v>73</v>
      </c>
      <c r="AT86" s="922"/>
      <c r="AU86" s="922"/>
      <c r="AV86" s="927"/>
      <c r="AW86" s="910"/>
      <c r="AX86" s="943"/>
      <c r="AY86" s="911"/>
      <c r="AZ86" s="545" t="s">
        <v>2085</v>
      </c>
      <c r="BA86" s="545" t="s">
        <v>2086</v>
      </c>
    </row>
    <row r="87" spans="1:53" ht="15" customHeight="1">
      <c r="A87" s="297"/>
      <c r="B87" s="618">
        <v>1</v>
      </c>
      <c r="C87" s="923" t="s">
        <v>1606</v>
      </c>
      <c r="D87" s="924"/>
      <c r="E87" s="546">
        <v>500</v>
      </c>
      <c r="F87" s="588">
        <v>100</v>
      </c>
      <c r="G87" s="620">
        <f>IF(ISBLANK(F87),E87,F87*E87)</f>
        <v>50000</v>
      </c>
      <c r="H87" s="629"/>
      <c r="I87" s="572" t="s">
        <v>75</v>
      </c>
      <c r="J87" s="621">
        <f>IF(AND(I87="Jah",H87="Osalise koormaga, nt 50% "),LOOKUP(C87,'HT-Transport (M3)'!$B$51:$B$68,'HT-Transport (M3)'!$C$51:$C$68),IF(AND(I87="Jah",H87="Täiskoorem"),LOOKUP(C87,'HT-Transport (M3)'!$B$51:$B$68,'HT-Transport (M3)'!$D$51:$D$68),IF(I87="Jah",LOOKUP(C87,'HT-Transport (M3)'!$B$51:$B$68,'HT-Transport (M3)'!$E$51:$E$68),"x ")))</f>
        <v>0.57778399000256075</v>
      </c>
      <c r="K87" s="547"/>
      <c r="L87" s="289" t="str">
        <f>IF(ISBLANK(C87),"",IF(RIGHT(C87,7)="tonn-km","kg CO₂ ekv/tonn-km","kg CO₂ ekv/km"))</f>
        <v>kg CO₂ ekv/km</v>
      </c>
      <c r="M87" s="630" t="str">
        <f>IF(I87="Jah", LOOKUP(C87,'HT-Transport (M3)'!$B$51:$B$62,'HT-Transport (M3)'!$G$51:$G$62),IF(I87= "Ei", " "))</f>
        <v>KHG inventuur/COPERT (kuna liigendveoautode kohta andmed puuduvad, siis on kasutatud jäiga kerega veoautode 20-32 t keskmist eriheitetegurit)</v>
      </c>
      <c r="N87" s="631"/>
      <c r="O87" s="632"/>
      <c r="P87" s="549">
        <f>IF(I87="Jah",G87*J87, IF(I87="Ei",G87*K87))</f>
        <v>28889.199500128037</v>
      </c>
      <c r="Q87" s="549">
        <f>P87*0.001</f>
        <v>28.889199500128036</v>
      </c>
      <c r="T87" s="618"/>
      <c r="U87" s="923"/>
      <c r="V87" s="924"/>
      <c r="W87" s="546"/>
      <c r="X87" s="588"/>
      <c r="Y87" s="620">
        <f>IF(ISBLANK(X87),W87,X87*W87)</f>
        <v>0</v>
      </c>
      <c r="Z87" s="629"/>
      <c r="AA87" s="572" t="s">
        <v>75</v>
      </c>
      <c r="AB87" s="621" t="e">
        <f>IF(AND(AA87="Jah",Z87="Osalise koormaga, nt 50% "),LOOKUP(U87,'HT-Transport (M3)'!$B$51:$B$68,'HT-Transport (M3)'!$C$51:$C$68),IF(AND(AA87="Jah",Z87="Täiskoorem"),LOOKUP(U87,'HT-Transport (M3)'!$B$51:$B$68,'HT-Transport (M3)'!$D$51:$D$68),IF(AA87="Jah",LOOKUP(U87,'HT-Transport (M3)'!$B$51:$B$68,'HT-Transport (M3)'!$E$51:$E$68),"x ")))</f>
        <v>#N/A</v>
      </c>
      <c r="AC87" s="547"/>
      <c r="AD87" s="289" t="str">
        <f>IF(ISBLANK(U87),"",IF(RIGHT(U87,7)="tonn-km","kg CO₂ ekv/tonn-km","kg CO₂ ekv/km"))</f>
        <v/>
      </c>
      <c r="AE87" s="630" t="e">
        <f>IF(AA87="Jah", LOOKUP(U87,'HT-Transport (M3)'!$B$51:$B$62,'HT-Transport (M3)'!$G$51:$G$62),IF(AA87= "Ei", " "))</f>
        <v>#N/A</v>
      </c>
      <c r="AF87" s="631"/>
      <c r="AG87" s="632"/>
      <c r="AH87" s="549" t="e">
        <f>IF(AA87="Jah",Y87*AB87, IF(AA87="Ei",Y87*AC87))</f>
        <v>#N/A</v>
      </c>
      <c r="AI87" s="549" t="e">
        <f>AH87*0.001</f>
        <v>#N/A</v>
      </c>
      <c r="AL87" s="618"/>
      <c r="AM87" s="923"/>
      <c r="AN87" s="924"/>
      <c r="AO87" s="546"/>
      <c r="AP87" s="588"/>
      <c r="AQ87" s="620">
        <f>IF(ISBLANK(AP87),AO87,AP87*AO87)</f>
        <v>0</v>
      </c>
      <c r="AR87" s="629"/>
      <c r="AS87" s="572" t="s">
        <v>75</v>
      </c>
      <c r="AT87" s="621" t="e">
        <f>IF(AND(AS87="Jah",AR87="Osalise koormaga, nt 50% "),LOOKUP(AM87,'HT-Transport (M3)'!$B$51:$B$68,'HT-Transport (M3)'!$C$51:$C$68),IF(AND(AS87="Jah",AR87="Täiskoorem"),LOOKUP(AM87,'HT-Transport (M3)'!$B$51:$B$68,'HT-Transport (M3)'!$D$51:$D$68),IF(AS87="Jah",LOOKUP(AM87,'HT-Transport (M3)'!$B$51:$B$68,'HT-Transport (M3)'!$E$51:$E$68),"x ")))</f>
        <v>#N/A</v>
      </c>
      <c r="AU87" s="547"/>
      <c r="AV87" s="289" t="str">
        <f>IF(ISBLANK(AM87),"",IF(RIGHT(AM87,7)="tonn-km","kg CO₂ ekv/tonn-km","kg CO₂ ekv/km"))</f>
        <v/>
      </c>
      <c r="AW87" s="630" t="e">
        <f>IF(AS87="Jah", LOOKUP(AM87,'HT-Transport (M3)'!$B$51:$B$62,'HT-Transport (M3)'!$G$51:$G$62),IF(AS87= "Ei", " "))</f>
        <v>#N/A</v>
      </c>
      <c r="AX87" s="631"/>
      <c r="AY87" s="632"/>
      <c r="AZ87" s="549" t="e">
        <f>IF(AS87="Jah",AQ87*AT87, IF(AS87="Ei",AQ87*AU87))</f>
        <v>#N/A</v>
      </c>
      <c r="BA87" s="549" t="e">
        <f>AZ87*0.001</f>
        <v>#N/A</v>
      </c>
    </row>
    <row r="88" spans="1:53" ht="15" customHeight="1">
      <c r="A88" s="297"/>
      <c r="B88" s="618">
        <v>2</v>
      </c>
      <c r="C88" s="923" t="s">
        <v>1609</v>
      </c>
      <c r="D88" s="924"/>
      <c r="E88" s="546">
        <v>900</v>
      </c>
      <c r="F88" s="546">
        <v>100</v>
      </c>
      <c r="G88" s="620">
        <f t="shared" ref="G88:G96" si="28">IF(ISBLANK(F88),E88,F88*E88)</f>
        <v>90000</v>
      </c>
      <c r="H88" s="629" t="s">
        <v>348</v>
      </c>
      <c r="I88" s="572" t="s">
        <v>78</v>
      </c>
      <c r="J88" s="621" t="str">
        <f>IF(AND(I88="Jah",H88="Osalise koormaga, nt 50% "),LOOKUP(C88,'HT-Transport (M3)'!$B$51:$B$68,'HT-Transport (M3)'!$C$51:$C$68),IF(AND(I88="Jah",H88="Täiskoorem"),LOOKUP(C88,'HT-Transport (M3)'!$B$51:$B$68,'HT-Transport (M3)'!$D$51:$D$68),IF(I88="Jah",LOOKUP(C88,'HT-Transport (M3)'!$B$51:$B$68,'HT-Transport (M3)'!$E$51:$E$68),"x ")))</f>
        <v xml:space="preserve">x </v>
      </c>
      <c r="K88" s="547">
        <v>1.4999999999999999E-2</v>
      </c>
      <c r="L88" s="289" t="str">
        <f t="shared" ref="L88:L96" si="29">IF(ISBLANK(C88),"",IF(RIGHT(C88,7)="tonn-km","kg CO₂ ekv/tonn-km","kg CO₂ ekv/km"))</f>
        <v>kg CO₂ ekv/tonn-km</v>
      </c>
      <c r="M88" s="630" t="str">
        <f>IF(I88="Jah", LOOKUP(C88,'HT-Transport (M3)'!$B$51:$B$62,'HT-Transport (M3)'!$G$51:$G$62),IF(I88= "Ei", " "))</f>
        <v xml:space="preserve"> </v>
      </c>
      <c r="N88" s="631"/>
      <c r="O88" s="632"/>
      <c r="P88" s="549">
        <f t="shared" ref="P88:P96" si="30">IF(I88="Jah",G88*J88, IF(I88="Ei",G88*K88))</f>
        <v>1350</v>
      </c>
      <c r="Q88" s="549">
        <f t="shared" ref="Q88:Q96" si="31">P88*0.001</f>
        <v>1.35</v>
      </c>
      <c r="T88" s="618"/>
      <c r="U88" s="923"/>
      <c r="V88" s="924"/>
      <c r="W88" s="546"/>
      <c r="X88" s="546"/>
      <c r="Y88" s="620">
        <f t="shared" ref="Y88:Y96" si="32">IF(ISBLANK(X88),W88,X88*W88)</f>
        <v>0</v>
      </c>
      <c r="Z88" s="629"/>
      <c r="AA88" s="572" t="s">
        <v>75</v>
      </c>
      <c r="AB88" s="621" t="e">
        <f>IF(AND(AA88="Jah",Z88="Osalise koormaga, nt 50% "),LOOKUP(U88,'HT-Transport (M3)'!$B$51:$B$68,'HT-Transport (M3)'!$C$51:$C$68),IF(AND(AA88="Jah",Z88="Täiskoorem"),LOOKUP(U88,'HT-Transport (M3)'!$B$51:$B$68,'HT-Transport (M3)'!$D$51:$D$68),IF(AA88="Jah",LOOKUP(U88,'HT-Transport (M3)'!$B$51:$B$68,'HT-Transport (M3)'!$E$51:$E$68),"x ")))</f>
        <v>#N/A</v>
      </c>
      <c r="AC88" s="547"/>
      <c r="AD88" s="289" t="str">
        <f t="shared" ref="AD88" si="33">IF(ISBLANK(U88),"",IF(RIGHT(U88,7)="tonn-km","kg CO₂ ekv/tonn-km","kg CO₂ ekv/km"))</f>
        <v/>
      </c>
      <c r="AE88" s="630" t="e">
        <f>IF(AA88="Jah", LOOKUP(U88,'HT-Transport (M3)'!$B$51:$B$62,'HT-Transport (M3)'!$G$51:$G$62),IF(AA88= "Ei", " "))</f>
        <v>#N/A</v>
      </c>
      <c r="AF88" s="631"/>
      <c r="AG88" s="632"/>
      <c r="AH88" s="549" t="e">
        <f t="shared" ref="AH88:AH96" si="34">IF(AA88="Jah",Y88*AB88, IF(AA88="Ei",Y88*AC88))</f>
        <v>#N/A</v>
      </c>
      <c r="AI88" s="549" t="e">
        <f t="shared" ref="AI88:AI96" si="35">AH88*0.001</f>
        <v>#N/A</v>
      </c>
      <c r="AL88" s="618"/>
      <c r="AM88" s="923"/>
      <c r="AN88" s="924"/>
      <c r="AO88" s="546"/>
      <c r="AP88" s="546"/>
      <c r="AQ88" s="620">
        <f t="shared" ref="AQ88:AQ96" si="36">IF(ISBLANK(AP88),AO88,AP88*AO88)</f>
        <v>0</v>
      </c>
      <c r="AR88" s="629"/>
      <c r="AS88" s="572" t="s">
        <v>75</v>
      </c>
      <c r="AT88" s="621" t="e">
        <f>IF(AND(AS88="Jah",AR88="Osalise koormaga, nt 50% "),LOOKUP(AM88,'HT-Transport (M3)'!$B$51:$B$68,'HT-Transport (M3)'!$C$51:$C$68),IF(AND(AS88="Jah",AR88="Täiskoorem"),LOOKUP(AM88,'HT-Transport (M3)'!$B$51:$B$68,'HT-Transport (M3)'!$D$51:$D$68),IF(AS88="Jah",LOOKUP(AM88,'HT-Transport (M3)'!$B$51:$B$68,'HT-Transport (M3)'!$E$51:$E$68),"x ")))</f>
        <v>#N/A</v>
      </c>
      <c r="AU88" s="547"/>
      <c r="AV88" s="289" t="str">
        <f t="shared" ref="AV88" si="37">IF(ISBLANK(AM88),"",IF(RIGHT(AM88,7)="tonn-km","kg CO₂ ekv/tonn-km","kg CO₂ ekv/km"))</f>
        <v/>
      </c>
      <c r="AW88" s="630" t="e">
        <f>IF(AS88="Jah", LOOKUP(AM88,'HT-Transport (M3)'!$B$51:$B$62,'HT-Transport (M3)'!$G$51:$G$62),IF(AS88= "Ei", " "))</f>
        <v>#N/A</v>
      </c>
      <c r="AX88" s="631"/>
      <c r="AY88" s="632"/>
      <c r="AZ88" s="549" t="e">
        <f t="shared" ref="AZ88:AZ96" si="38">IF(AS88="Jah",AQ88*AT88, IF(AS88="Ei",AQ88*AU88))</f>
        <v>#N/A</v>
      </c>
      <c r="BA88" s="549" t="e">
        <f t="shared" ref="BA88:BA96" si="39">AZ88*0.001</f>
        <v>#N/A</v>
      </c>
    </row>
    <row r="89" spans="1:53" ht="15" customHeight="1">
      <c r="B89" s="618">
        <v>3</v>
      </c>
      <c r="C89" s="923" t="s">
        <v>1615</v>
      </c>
      <c r="D89" s="924"/>
      <c r="E89" s="546">
        <v>700</v>
      </c>
      <c r="F89" s="546">
        <v>100</v>
      </c>
      <c r="G89" s="620">
        <f t="shared" si="28"/>
        <v>70000</v>
      </c>
      <c r="H89" s="629"/>
      <c r="I89" s="572" t="s">
        <v>75</v>
      </c>
      <c r="J89" s="621">
        <f>IF(AND(I89="Jah",H89="Osalise koormaga, nt 50% "),LOOKUP(C89,'HT-Transport (M3)'!$B$51:$B$68,'HT-Transport (M3)'!$C$51:$C$68),IF(AND(I89="Jah",H89="Täiskoorem"),LOOKUP(C89,'HT-Transport (M3)'!$B$51:$B$68,'HT-Transport (M3)'!$D$51:$D$68),IF(I89="Jah",LOOKUP(C89,'HT-Transport (M3)'!$B$51:$B$68,'HT-Transport (M3)'!$E$51:$E$68),"x ")))</f>
        <v>0.66225481926609053</v>
      </c>
      <c r="K89" s="547"/>
      <c r="L89" s="289" t="str">
        <f>IF(ISBLANK(C89),"",IF(RIGHT(C89,7)="tonn-km","kg CO₂ ekv/tonn-km","kg CO₂ ekv/km"))</f>
        <v>kg CO₂ ekv/km</v>
      </c>
      <c r="M89" s="630" t="str">
        <f>IF(I89="Jah", LOOKUP(C89,'HT-Transport (M3)'!$B$51:$B$62,'HT-Transport (M3)'!$G$51:$G$62),IF(I89= "Ei", " "))</f>
        <v>Keskmine arvestuslik täiskoorma kaal 40 t (LIPASTO)</v>
      </c>
      <c r="N89" s="631"/>
      <c r="O89" s="632"/>
      <c r="P89" s="549">
        <f t="shared" si="30"/>
        <v>46357.837348626337</v>
      </c>
      <c r="Q89" s="549">
        <f t="shared" si="31"/>
        <v>46.35783734862634</v>
      </c>
      <c r="T89" s="618"/>
      <c r="U89" s="923"/>
      <c r="V89" s="924"/>
      <c r="W89" s="546"/>
      <c r="X89" s="546"/>
      <c r="Y89" s="620">
        <f t="shared" si="32"/>
        <v>0</v>
      </c>
      <c r="Z89" s="629"/>
      <c r="AA89" s="572" t="s">
        <v>75</v>
      </c>
      <c r="AB89" s="621" t="e">
        <f>IF(AND(AA89="Jah",Z89="Osalise koormaga, nt 50% "),LOOKUP(U89,'HT-Transport (M3)'!$B$51:$B$68,'HT-Transport (M3)'!$C$51:$C$68),IF(AND(AA89="Jah",Z89="Täiskoorem"),LOOKUP(U89,'HT-Transport (M3)'!$B$51:$B$68,'HT-Transport (M3)'!$D$51:$D$68),IF(AA89="Jah",LOOKUP(U89,'HT-Transport (M3)'!$B$51:$B$68,'HT-Transport (M3)'!$E$51:$E$68),"x ")))</f>
        <v>#N/A</v>
      </c>
      <c r="AC89" s="547"/>
      <c r="AD89" s="289" t="str">
        <f>IF(ISBLANK(U89),"",IF(RIGHT(U89,7)="tonn-km","kg CO₂ ekv/tonn-km","kg CO₂ ekv/km"))</f>
        <v/>
      </c>
      <c r="AE89" s="630" t="e">
        <f>IF(AA89="Jah", LOOKUP(U89,'HT-Transport (M3)'!$B$51:$B$62,'HT-Transport (M3)'!$G$51:$G$62),IF(AA89= "Ei", " "))</f>
        <v>#N/A</v>
      </c>
      <c r="AF89" s="631"/>
      <c r="AG89" s="632"/>
      <c r="AH89" s="549" t="e">
        <f t="shared" si="34"/>
        <v>#N/A</v>
      </c>
      <c r="AI89" s="549" t="e">
        <f t="shared" si="35"/>
        <v>#N/A</v>
      </c>
      <c r="AL89" s="618"/>
      <c r="AM89" s="923"/>
      <c r="AN89" s="924"/>
      <c r="AO89" s="546"/>
      <c r="AP89" s="546"/>
      <c r="AQ89" s="620">
        <f t="shared" si="36"/>
        <v>0</v>
      </c>
      <c r="AR89" s="629"/>
      <c r="AS89" s="572" t="s">
        <v>75</v>
      </c>
      <c r="AT89" s="621" t="e">
        <f>IF(AND(AS89="Jah",AR89="Osalise koormaga, nt 50% "),LOOKUP(AM89,'HT-Transport (M3)'!$B$51:$B$68,'HT-Transport (M3)'!$C$51:$C$68),IF(AND(AS89="Jah",AR89="Täiskoorem"),LOOKUP(AM89,'HT-Transport (M3)'!$B$51:$B$68,'HT-Transport (M3)'!$D$51:$D$68),IF(AS89="Jah",LOOKUP(AM89,'HT-Transport (M3)'!$B$51:$B$68,'HT-Transport (M3)'!$E$51:$E$68),"x ")))</f>
        <v>#N/A</v>
      </c>
      <c r="AU89" s="547"/>
      <c r="AV89" s="289" t="str">
        <f>IF(ISBLANK(AM89),"",IF(RIGHT(AM89,7)="tonn-km","kg CO₂ ekv/tonn-km","kg CO₂ ekv/km"))</f>
        <v/>
      </c>
      <c r="AW89" s="630" t="e">
        <f>IF(AS89="Jah", LOOKUP(AM89,'HT-Transport (M3)'!$B$51:$B$62,'HT-Transport (M3)'!$G$51:$G$62),IF(AS89= "Ei", " "))</f>
        <v>#N/A</v>
      </c>
      <c r="AX89" s="631"/>
      <c r="AY89" s="632"/>
      <c r="AZ89" s="549" t="e">
        <f t="shared" si="38"/>
        <v>#N/A</v>
      </c>
      <c r="BA89" s="549" t="e">
        <f t="shared" si="39"/>
        <v>#N/A</v>
      </c>
    </row>
    <row r="90" spans="1:53" ht="15" customHeight="1">
      <c r="B90" s="618"/>
      <c r="C90" s="923"/>
      <c r="D90" s="924"/>
      <c r="E90" s="546"/>
      <c r="F90" s="361"/>
      <c r="G90" s="620">
        <f t="shared" si="28"/>
        <v>0</v>
      </c>
      <c r="H90" s="629"/>
      <c r="I90" s="572" t="s">
        <v>75</v>
      </c>
      <c r="J90" s="621" t="e">
        <f>IF(AND(I90="Jah",H90="Osalise koormaga, nt 50% "),LOOKUP(C90,'HT-Transport (M3)'!$B$51:$B$68,'HT-Transport (M3)'!$C$51:$C$68),IF(AND(I90="Jah",H90="Täiskoorem"),LOOKUP(C90,'HT-Transport (M3)'!$B$51:$B$68,'HT-Transport (M3)'!$D$51:$D$68),IF(I90="Jah",LOOKUP(C90,'HT-Transport (M3)'!$B$51:$B$68,'HT-Transport (M3)'!$E$51:$E$68),"x ")))</f>
        <v>#N/A</v>
      </c>
      <c r="K90" s="547"/>
      <c r="L90" s="289" t="str">
        <f t="shared" si="29"/>
        <v/>
      </c>
      <c r="M90" s="630" t="e">
        <f>IF(I90="Jah", LOOKUP(C90,'HT-Transport (M3)'!$B$51:$B$62,'HT-Transport (M3)'!$G$51:$G$62),IF(I90= "Ei", " "))</f>
        <v>#N/A</v>
      </c>
      <c r="N90" s="631"/>
      <c r="O90" s="632"/>
      <c r="P90" s="549" t="e">
        <f t="shared" si="30"/>
        <v>#N/A</v>
      </c>
      <c r="Q90" s="549" t="e">
        <f t="shared" si="31"/>
        <v>#N/A</v>
      </c>
      <c r="T90" s="618"/>
      <c r="U90" s="923"/>
      <c r="V90" s="924"/>
      <c r="W90" s="546"/>
      <c r="X90" s="361"/>
      <c r="Y90" s="620">
        <f t="shared" si="32"/>
        <v>0</v>
      </c>
      <c r="Z90" s="629"/>
      <c r="AA90" s="572" t="s">
        <v>75</v>
      </c>
      <c r="AB90" s="621" t="e">
        <f>IF(AND(AA90="Jah",Z90="Osalise koormaga, nt 50% "),LOOKUP(U90,'HT-Transport (M3)'!$B$51:$B$68,'HT-Transport (M3)'!$C$51:$C$68),IF(AND(AA90="Jah",Z90="Täiskoorem"),LOOKUP(U90,'HT-Transport (M3)'!$B$51:$B$68,'HT-Transport (M3)'!$D$51:$D$68),IF(AA90="Jah",LOOKUP(U90,'HT-Transport (M3)'!$B$51:$B$68,'HT-Transport (M3)'!$E$51:$E$68),"x ")))</f>
        <v>#N/A</v>
      </c>
      <c r="AC90" s="547"/>
      <c r="AD90" s="289" t="str">
        <f t="shared" ref="AD90:AD96" si="40">IF(ISBLANK(U90),"",IF(RIGHT(U90,7)="tonn-km","kg CO₂ ekv/tonn-km","kg CO₂ ekv/km"))</f>
        <v/>
      </c>
      <c r="AE90" s="630" t="e">
        <f>IF(AA90="Jah", LOOKUP(U90,'HT-Transport (M3)'!$B$51:$B$62,'HT-Transport (M3)'!$G$51:$G$62),IF(AA90= "Ei", " "))</f>
        <v>#N/A</v>
      </c>
      <c r="AF90" s="631"/>
      <c r="AG90" s="632"/>
      <c r="AH90" s="549" t="e">
        <f t="shared" si="34"/>
        <v>#N/A</v>
      </c>
      <c r="AI90" s="549" t="e">
        <f t="shared" si="35"/>
        <v>#N/A</v>
      </c>
      <c r="AL90" s="618"/>
      <c r="AM90" s="923"/>
      <c r="AN90" s="924"/>
      <c r="AO90" s="546"/>
      <c r="AP90" s="361"/>
      <c r="AQ90" s="620">
        <f t="shared" si="36"/>
        <v>0</v>
      </c>
      <c r="AR90" s="629"/>
      <c r="AS90" s="572" t="s">
        <v>75</v>
      </c>
      <c r="AT90" s="621" t="e">
        <f>IF(AND(AS90="Jah",AR90="Osalise koormaga, nt 50% "),LOOKUP(AM90,'HT-Transport (M3)'!$B$51:$B$68,'HT-Transport (M3)'!$C$51:$C$68),IF(AND(AS90="Jah",AR90="Täiskoorem"),LOOKUP(AM90,'HT-Transport (M3)'!$B$51:$B$68,'HT-Transport (M3)'!$D$51:$D$68),IF(AS90="Jah",LOOKUP(AM90,'HT-Transport (M3)'!$B$51:$B$68,'HT-Transport (M3)'!$E$51:$E$68),"x ")))</f>
        <v>#N/A</v>
      </c>
      <c r="AU90" s="547"/>
      <c r="AV90" s="289" t="str">
        <f t="shared" ref="AV90:AV96" si="41">IF(ISBLANK(AM90),"",IF(RIGHT(AM90,7)="tonn-km","kg CO₂ ekv/tonn-km","kg CO₂ ekv/km"))</f>
        <v/>
      </c>
      <c r="AW90" s="630" t="e">
        <f>IF(AS90="Jah", LOOKUP(AM90,'HT-Transport (M3)'!$B$51:$B$62,'HT-Transport (M3)'!$G$51:$G$62),IF(AS90= "Ei", " "))</f>
        <v>#N/A</v>
      </c>
      <c r="AX90" s="631"/>
      <c r="AY90" s="632"/>
      <c r="AZ90" s="549" t="e">
        <f t="shared" si="38"/>
        <v>#N/A</v>
      </c>
      <c r="BA90" s="549" t="e">
        <f t="shared" si="39"/>
        <v>#N/A</v>
      </c>
    </row>
    <row r="91" spans="1:53" ht="15" customHeight="1">
      <c r="B91" s="618"/>
      <c r="C91" s="923"/>
      <c r="D91" s="924"/>
      <c r="E91" s="546"/>
      <c r="F91" s="361"/>
      <c r="G91" s="620">
        <f t="shared" si="28"/>
        <v>0</v>
      </c>
      <c r="H91" s="629"/>
      <c r="I91" s="572" t="s">
        <v>75</v>
      </c>
      <c r="J91" s="621" t="e">
        <f>IF(AND(I91="Jah",H91="Osalise koormaga, nt 50% "),LOOKUP(C91,'HT-Transport (M3)'!$B$51:$B$68,'HT-Transport (M3)'!$C$51:$C$68),IF(AND(I91="Jah",H91="Täiskoorem"),LOOKUP(C91,'HT-Transport (M3)'!$B$51:$B$68,'HT-Transport (M3)'!$D$51:$D$68),IF(I91="Jah",LOOKUP(C91,'HT-Transport (M3)'!$B$51:$B$68,'HT-Transport (M3)'!$E$51:$E$68),"x ")))</f>
        <v>#N/A</v>
      </c>
      <c r="K91" s="547"/>
      <c r="L91" s="289" t="str">
        <f t="shared" si="29"/>
        <v/>
      </c>
      <c r="M91" s="630" t="e">
        <f>IF(I91="Jah", LOOKUP(C91,'HT-Transport (M3)'!$B$51:$B$62,'HT-Transport (M3)'!$G$51:$G$62),IF(I91= "Ei", " "))</f>
        <v>#N/A</v>
      </c>
      <c r="N91" s="631"/>
      <c r="O91" s="632"/>
      <c r="P91" s="549" t="e">
        <f t="shared" si="30"/>
        <v>#N/A</v>
      </c>
      <c r="Q91" s="549" t="e">
        <f t="shared" si="31"/>
        <v>#N/A</v>
      </c>
      <c r="T91" s="618"/>
      <c r="U91" s="923"/>
      <c r="V91" s="924"/>
      <c r="W91" s="546"/>
      <c r="X91" s="361"/>
      <c r="Y91" s="620">
        <f t="shared" si="32"/>
        <v>0</v>
      </c>
      <c r="Z91" s="629"/>
      <c r="AA91" s="572" t="s">
        <v>75</v>
      </c>
      <c r="AB91" s="621" t="e">
        <f>IF(AND(AA91="Jah",Z91="Osalise koormaga, nt 50% "),LOOKUP(U91,'HT-Transport (M3)'!$B$51:$B$68,'HT-Transport (M3)'!$C$51:$C$68),IF(AND(AA91="Jah",Z91="Täiskoorem"),LOOKUP(U91,'HT-Transport (M3)'!$B$51:$B$68,'HT-Transport (M3)'!$D$51:$D$68),IF(AA91="Jah",LOOKUP(U91,'HT-Transport (M3)'!$B$51:$B$68,'HT-Transport (M3)'!$E$51:$E$68),"x ")))</f>
        <v>#N/A</v>
      </c>
      <c r="AC91" s="547"/>
      <c r="AD91" s="289" t="str">
        <f t="shared" si="40"/>
        <v/>
      </c>
      <c r="AE91" s="630" t="e">
        <f>IF(AA91="Jah", LOOKUP(U91,'HT-Transport (M3)'!$B$51:$B$62,'HT-Transport (M3)'!$G$51:$G$62),IF(AA91= "Ei", " "))</f>
        <v>#N/A</v>
      </c>
      <c r="AF91" s="631"/>
      <c r="AG91" s="632"/>
      <c r="AH91" s="549" t="e">
        <f t="shared" si="34"/>
        <v>#N/A</v>
      </c>
      <c r="AI91" s="549" t="e">
        <f t="shared" si="35"/>
        <v>#N/A</v>
      </c>
      <c r="AL91" s="618"/>
      <c r="AM91" s="923"/>
      <c r="AN91" s="924"/>
      <c r="AO91" s="546"/>
      <c r="AP91" s="361"/>
      <c r="AQ91" s="620">
        <f t="shared" si="36"/>
        <v>0</v>
      </c>
      <c r="AR91" s="629"/>
      <c r="AS91" s="572" t="s">
        <v>75</v>
      </c>
      <c r="AT91" s="621" t="e">
        <f>IF(AND(AS91="Jah",AR91="Osalise koormaga, nt 50% "),LOOKUP(AM91,'HT-Transport (M3)'!$B$51:$B$68,'HT-Transport (M3)'!$C$51:$C$68),IF(AND(AS91="Jah",AR91="Täiskoorem"),LOOKUP(AM91,'HT-Transport (M3)'!$B$51:$B$68,'HT-Transport (M3)'!$D$51:$D$68),IF(AS91="Jah",LOOKUP(AM91,'HT-Transport (M3)'!$B$51:$B$68,'HT-Transport (M3)'!$E$51:$E$68),"x ")))</f>
        <v>#N/A</v>
      </c>
      <c r="AU91" s="547"/>
      <c r="AV91" s="289" t="str">
        <f t="shared" si="41"/>
        <v/>
      </c>
      <c r="AW91" s="630" t="e">
        <f>IF(AS91="Jah", LOOKUP(AM91,'HT-Transport (M3)'!$B$51:$B$62,'HT-Transport (M3)'!$G$51:$G$62),IF(AS91= "Ei", " "))</f>
        <v>#N/A</v>
      </c>
      <c r="AX91" s="631"/>
      <c r="AY91" s="632"/>
      <c r="AZ91" s="549" t="e">
        <f t="shared" si="38"/>
        <v>#N/A</v>
      </c>
      <c r="BA91" s="549" t="e">
        <f t="shared" si="39"/>
        <v>#N/A</v>
      </c>
    </row>
    <row r="92" spans="1:53" ht="15" customHeight="1">
      <c r="B92" s="618"/>
      <c r="C92" s="923"/>
      <c r="D92" s="924"/>
      <c r="E92" s="546"/>
      <c r="F92" s="361"/>
      <c r="G92" s="620">
        <f t="shared" si="28"/>
        <v>0</v>
      </c>
      <c r="H92" s="629"/>
      <c r="I92" s="572" t="s">
        <v>75</v>
      </c>
      <c r="J92" s="621" t="e">
        <f>IF(AND(I92="Jah",H92="Osalise koormaga, nt 50% "),LOOKUP(C92,'HT-Transport (M3)'!$B$51:$B$68,'HT-Transport (M3)'!$C$51:$C$68),IF(AND(I92="Jah",H92="Täiskoorem"),LOOKUP(C92,'HT-Transport (M3)'!$B$51:$B$68,'HT-Transport (M3)'!$D$51:$D$68),IF(I92="Jah",LOOKUP(C92,'HT-Transport (M3)'!$B$51:$B$68,'HT-Transport (M3)'!$E$51:$E$68),"x ")))</f>
        <v>#N/A</v>
      </c>
      <c r="K92" s="547"/>
      <c r="L92" s="289" t="str">
        <f t="shared" si="29"/>
        <v/>
      </c>
      <c r="M92" s="630" t="e">
        <f>IF(I92="Jah", LOOKUP(C92,'HT-Transport (M3)'!$B$51:$B$62,'HT-Transport (M3)'!$G$51:$G$62),IF(I92= "Ei", " "))</f>
        <v>#N/A</v>
      </c>
      <c r="N92" s="631"/>
      <c r="O92" s="632"/>
      <c r="P92" s="549" t="e">
        <f t="shared" si="30"/>
        <v>#N/A</v>
      </c>
      <c r="Q92" s="549" t="e">
        <f t="shared" si="31"/>
        <v>#N/A</v>
      </c>
      <c r="T92" s="618"/>
      <c r="U92" s="923"/>
      <c r="V92" s="924"/>
      <c r="W92" s="546"/>
      <c r="X92" s="361"/>
      <c r="Y92" s="620">
        <f t="shared" si="32"/>
        <v>0</v>
      </c>
      <c r="Z92" s="629"/>
      <c r="AA92" s="572" t="s">
        <v>75</v>
      </c>
      <c r="AB92" s="621" t="e">
        <f>IF(AND(AA92="Jah",Z92="Osalise koormaga, nt 50% "),LOOKUP(U92,'HT-Transport (M3)'!$B$51:$B$68,'HT-Transport (M3)'!$C$51:$C$68),IF(AND(AA92="Jah",Z92="Täiskoorem"),LOOKUP(U92,'HT-Transport (M3)'!$B$51:$B$68,'HT-Transport (M3)'!$D$51:$D$68),IF(AA92="Jah",LOOKUP(U92,'HT-Transport (M3)'!$B$51:$B$68,'HT-Transport (M3)'!$E$51:$E$68),"x ")))</f>
        <v>#N/A</v>
      </c>
      <c r="AC92" s="547"/>
      <c r="AD92" s="289" t="str">
        <f t="shared" si="40"/>
        <v/>
      </c>
      <c r="AE92" s="630" t="e">
        <f>IF(AA92="Jah", LOOKUP(U92,'HT-Transport (M3)'!$B$51:$B$62,'HT-Transport (M3)'!$G$51:$G$62),IF(AA92= "Ei", " "))</f>
        <v>#N/A</v>
      </c>
      <c r="AF92" s="631"/>
      <c r="AG92" s="632"/>
      <c r="AH92" s="549" t="e">
        <f t="shared" si="34"/>
        <v>#N/A</v>
      </c>
      <c r="AI92" s="549" t="e">
        <f t="shared" si="35"/>
        <v>#N/A</v>
      </c>
      <c r="AL92" s="618"/>
      <c r="AM92" s="923"/>
      <c r="AN92" s="924"/>
      <c r="AO92" s="546"/>
      <c r="AP92" s="361"/>
      <c r="AQ92" s="620">
        <f t="shared" si="36"/>
        <v>0</v>
      </c>
      <c r="AR92" s="629"/>
      <c r="AS92" s="572" t="s">
        <v>75</v>
      </c>
      <c r="AT92" s="621" t="e">
        <f>IF(AND(AS92="Jah",AR92="Osalise koormaga, nt 50% "),LOOKUP(AM92,'HT-Transport (M3)'!$B$51:$B$68,'HT-Transport (M3)'!$C$51:$C$68),IF(AND(AS92="Jah",AR92="Täiskoorem"),LOOKUP(AM92,'HT-Transport (M3)'!$B$51:$B$68,'HT-Transport (M3)'!$D$51:$D$68),IF(AS92="Jah",LOOKUP(AM92,'HT-Transport (M3)'!$B$51:$B$68,'HT-Transport (M3)'!$E$51:$E$68),"x ")))</f>
        <v>#N/A</v>
      </c>
      <c r="AU92" s="547"/>
      <c r="AV92" s="289" t="str">
        <f t="shared" si="41"/>
        <v/>
      </c>
      <c r="AW92" s="630" t="e">
        <f>IF(AS92="Jah", LOOKUP(AM92,'HT-Transport (M3)'!$B$51:$B$62,'HT-Transport (M3)'!$G$51:$G$62),IF(AS92= "Ei", " "))</f>
        <v>#N/A</v>
      </c>
      <c r="AX92" s="631"/>
      <c r="AY92" s="632"/>
      <c r="AZ92" s="549" t="e">
        <f t="shared" si="38"/>
        <v>#N/A</v>
      </c>
      <c r="BA92" s="549" t="e">
        <f t="shared" si="39"/>
        <v>#N/A</v>
      </c>
    </row>
    <row r="93" spans="1:53" ht="15" customHeight="1">
      <c r="B93" s="618"/>
      <c r="C93" s="923"/>
      <c r="D93" s="924"/>
      <c r="E93" s="546"/>
      <c r="F93" s="361"/>
      <c r="G93" s="620">
        <f t="shared" si="28"/>
        <v>0</v>
      </c>
      <c r="H93" s="629"/>
      <c r="I93" s="572" t="s">
        <v>75</v>
      </c>
      <c r="J93" s="621" t="e">
        <f>IF(AND(I93="Jah",H93="Osalise koormaga, nt 50% "),LOOKUP(C93,'HT-Transport (M3)'!$B$51:$B$68,'HT-Transport (M3)'!$C$51:$C$68),IF(AND(I93="Jah",H93="Täiskoorem"),LOOKUP(C93,'HT-Transport (M3)'!$B$51:$B$68,'HT-Transport (M3)'!$D$51:$D$68),IF(I93="Jah",LOOKUP(C93,'HT-Transport (M3)'!$B$51:$B$68,'HT-Transport (M3)'!$E$51:$E$68),"x ")))</f>
        <v>#N/A</v>
      </c>
      <c r="K93" s="547"/>
      <c r="L93" s="289" t="str">
        <f t="shared" si="29"/>
        <v/>
      </c>
      <c r="M93" s="630" t="e">
        <f>IF(I93="Jah", LOOKUP(C93,'HT-Transport (M3)'!$B$51:$B$62,'HT-Transport (M3)'!$G$51:$G$62),IF(I93= "Ei", " "))</f>
        <v>#N/A</v>
      </c>
      <c r="N93" s="631"/>
      <c r="O93" s="632"/>
      <c r="P93" s="549" t="e">
        <f t="shared" si="30"/>
        <v>#N/A</v>
      </c>
      <c r="Q93" s="549" t="e">
        <f t="shared" si="31"/>
        <v>#N/A</v>
      </c>
      <c r="T93" s="618"/>
      <c r="U93" s="923"/>
      <c r="V93" s="924"/>
      <c r="W93" s="546"/>
      <c r="X93" s="361"/>
      <c r="Y93" s="620">
        <f t="shared" si="32"/>
        <v>0</v>
      </c>
      <c r="Z93" s="629"/>
      <c r="AA93" s="572" t="s">
        <v>75</v>
      </c>
      <c r="AB93" s="621" t="e">
        <f>IF(AND(AA93="Jah",Z93="Osalise koormaga, nt 50% "),LOOKUP(U93,'HT-Transport (M3)'!$B$51:$B$68,'HT-Transport (M3)'!$C$51:$C$68),IF(AND(AA93="Jah",Z93="Täiskoorem"),LOOKUP(U93,'HT-Transport (M3)'!$B$51:$B$68,'HT-Transport (M3)'!$D$51:$D$68),IF(AA93="Jah",LOOKUP(U93,'HT-Transport (M3)'!$B$51:$B$68,'HT-Transport (M3)'!$E$51:$E$68),"x ")))</f>
        <v>#N/A</v>
      </c>
      <c r="AC93" s="547"/>
      <c r="AD93" s="289" t="str">
        <f t="shared" si="40"/>
        <v/>
      </c>
      <c r="AE93" s="630" t="e">
        <f>IF(AA93="Jah", LOOKUP(U93,'HT-Transport (M3)'!$B$51:$B$62,'HT-Transport (M3)'!$G$51:$G$62),IF(AA93= "Ei", " "))</f>
        <v>#N/A</v>
      </c>
      <c r="AF93" s="631"/>
      <c r="AG93" s="632"/>
      <c r="AH93" s="549" t="e">
        <f t="shared" si="34"/>
        <v>#N/A</v>
      </c>
      <c r="AI93" s="549" t="e">
        <f t="shared" si="35"/>
        <v>#N/A</v>
      </c>
      <c r="AL93" s="618"/>
      <c r="AM93" s="923"/>
      <c r="AN93" s="924"/>
      <c r="AO93" s="546"/>
      <c r="AP93" s="361"/>
      <c r="AQ93" s="620">
        <f t="shared" si="36"/>
        <v>0</v>
      </c>
      <c r="AR93" s="629"/>
      <c r="AS93" s="572" t="s">
        <v>75</v>
      </c>
      <c r="AT93" s="621" t="e">
        <f>IF(AND(AS93="Jah",AR93="Osalise koormaga, nt 50% "),LOOKUP(AM93,'HT-Transport (M3)'!$B$51:$B$68,'HT-Transport (M3)'!$C$51:$C$68),IF(AND(AS93="Jah",AR93="Täiskoorem"),LOOKUP(AM93,'HT-Transport (M3)'!$B$51:$B$68,'HT-Transport (M3)'!$D$51:$D$68),IF(AS93="Jah",LOOKUP(AM93,'HT-Transport (M3)'!$B$51:$B$68,'HT-Transport (M3)'!$E$51:$E$68),"x ")))</f>
        <v>#N/A</v>
      </c>
      <c r="AU93" s="547"/>
      <c r="AV93" s="289" t="str">
        <f t="shared" si="41"/>
        <v/>
      </c>
      <c r="AW93" s="630" t="e">
        <f>IF(AS93="Jah", LOOKUP(AM93,'HT-Transport (M3)'!$B$51:$B$62,'HT-Transport (M3)'!$G$51:$G$62),IF(AS93= "Ei", " "))</f>
        <v>#N/A</v>
      </c>
      <c r="AX93" s="631"/>
      <c r="AY93" s="632"/>
      <c r="AZ93" s="549" t="e">
        <f t="shared" si="38"/>
        <v>#N/A</v>
      </c>
      <c r="BA93" s="549" t="e">
        <f t="shared" si="39"/>
        <v>#N/A</v>
      </c>
    </row>
    <row r="94" spans="1:53" ht="15" customHeight="1">
      <c r="B94" s="618"/>
      <c r="C94" s="923"/>
      <c r="D94" s="924"/>
      <c r="E94" s="546"/>
      <c r="F94" s="361"/>
      <c r="G94" s="620">
        <f t="shared" si="28"/>
        <v>0</v>
      </c>
      <c r="H94" s="629"/>
      <c r="I94" s="572" t="s">
        <v>75</v>
      </c>
      <c r="J94" s="621" t="e">
        <f>IF(AND(I94="Jah",H94="Osalise koormaga, nt 50% "),LOOKUP(C94,'HT-Transport (M3)'!$B$51:$B$68,'HT-Transport (M3)'!$C$51:$C$68),IF(AND(I94="Jah",H94="Täiskoorem"),LOOKUP(C94,'HT-Transport (M3)'!$B$51:$B$68,'HT-Transport (M3)'!$D$51:$D$68),IF(I94="Jah",LOOKUP(C94,'HT-Transport (M3)'!$B$51:$B$68,'HT-Transport (M3)'!$E$51:$E$68),"x ")))</f>
        <v>#N/A</v>
      </c>
      <c r="K94" s="547"/>
      <c r="L94" s="289" t="str">
        <f t="shared" si="29"/>
        <v/>
      </c>
      <c r="M94" s="630" t="e">
        <f>IF(I94="Jah", LOOKUP(C94,'HT-Transport (M3)'!$B$51:$B$62,'HT-Transport (M3)'!$G$51:$G$62),IF(I94= "Ei", " "))</f>
        <v>#N/A</v>
      </c>
      <c r="N94" s="631"/>
      <c r="O94" s="632"/>
      <c r="P94" s="549" t="e">
        <f t="shared" si="30"/>
        <v>#N/A</v>
      </c>
      <c r="Q94" s="549" t="e">
        <f t="shared" si="31"/>
        <v>#N/A</v>
      </c>
      <c r="T94" s="618"/>
      <c r="U94" s="923"/>
      <c r="V94" s="924"/>
      <c r="W94" s="546"/>
      <c r="X94" s="361"/>
      <c r="Y94" s="620">
        <f t="shared" si="32"/>
        <v>0</v>
      </c>
      <c r="Z94" s="629"/>
      <c r="AA94" s="572" t="s">
        <v>75</v>
      </c>
      <c r="AB94" s="621" t="e">
        <f>IF(AND(AA94="Jah",Z94="Osalise koormaga, nt 50% "),LOOKUP(U94,'HT-Transport (M3)'!$B$51:$B$68,'HT-Transport (M3)'!$C$51:$C$68),IF(AND(AA94="Jah",Z94="Täiskoorem"),LOOKUP(U94,'HT-Transport (M3)'!$B$51:$B$68,'HT-Transport (M3)'!$D$51:$D$68),IF(AA94="Jah",LOOKUP(U94,'HT-Transport (M3)'!$B$51:$B$68,'HT-Transport (M3)'!$E$51:$E$68),"x ")))</f>
        <v>#N/A</v>
      </c>
      <c r="AC94" s="547"/>
      <c r="AD94" s="289" t="str">
        <f t="shared" si="40"/>
        <v/>
      </c>
      <c r="AE94" s="630" t="e">
        <f>IF(AA94="Jah", LOOKUP(U94,'HT-Transport (M3)'!$B$51:$B$62,'HT-Transport (M3)'!$G$51:$G$62),IF(AA94= "Ei", " "))</f>
        <v>#N/A</v>
      </c>
      <c r="AF94" s="631"/>
      <c r="AG94" s="632"/>
      <c r="AH94" s="549" t="e">
        <f t="shared" si="34"/>
        <v>#N/A</v>
      </c>
      <c r="AI94" s="549" t="e">
        <f t="shared" si="35"/>
        <v>#N/A</v>
      </c>
      <c r="AL94" s="618"/>
      <c r="AM94" s="923"/>
      <c r="AN94" s="924"/>
      <c r="AO94" s="546"/>
      <c r="AP94" s="361"/>
      <c r="AQ94" s="620">
        <f t="shared" si="36"/>
        <v>0</v>
      </c>
      <c r="AR94" s="629"/>
      <c r="AS94" s="572" t="s">
        <v>75</v>
      </c>
      <c r="AT94" s="621" t="e">
        <f>IF(AND(AS94="Jah",AR94="Osalise koormaga, nt 50% "),LOOKUP(AM94,'HT-Transport (M3)'!$B$51:$B$68,'HT-Transport (M3)'!$C$51:$C$68),IF(AND(AS94="Jah",AR94="Täiskoorem"),LOOKUP(AM94,'HT-Transport (M3)'!$B$51:$B$68,'HT-Transport (M3)'!$D$51:$D$68),IF(AS94="Jah",LOOKUP(AM94,'HT-Transport (M3)'!$B$51:$B$68,'HT-Transport (M3)'!$E$51:$E$68),"x ")))</f>
        <v>#N/A</v>
      </c>
      <c r="AU94" s="547"/>
      <c r="AV94" s="289" t="str">
        <f t="shared" si="41"/>
        <v/>
      </c>
      <c r="AW94" s="630" t="e">
        <f>IF(AS94="Jah", LOOKUP(AM94,'HT-Transport (M3)'!$B$51:$B$62,'HT-Transport (M3)'!$G$51:$G$62),IF(AS94= "Ei", " "))</f>
        <v>#N/A</v>
      </c>
      <c r="AX94" s="631"/>
      <c r="AY94" s="632"/>
      <c r="AZ94" s="549" t="e">
        <f t="shared" si="38"/>
        <v>#N/A</v>
      </c>
      <c r="BA94" s="549" t="e">
        <f t="shared" si="39"/>
        <v>#N/A</v>
      </c>
    </row>
    <row r="95" spans="1:53" ht="15" customHeight="1">
      <c r="B95" s="618"/>
      <c r="C95" s="923"/>
      <c r="D95" s="924"/>
      <c r="E95" s="546"/>
      <c r="F95" s="361"/>
      <c r="G95" s="620">
        <f t="shared" si="28"/>
        <v>0</v>
      </c>
      <c r="H95" s="629"/>
      <c r="I95" s="572" t="s">
        <v>75</v>
      </c>
      <c r="J95" s="621" t="e">
        <f>IF(AND(I95="Jah",H95="Osalise koormaga, nt 50% "),LOOKUP(C95,'HT-Transport (M3)'!$B$51:$B$68,'HT-Transport (M3)'!$C$51:$C$68),IF(AND(I95="Jah",H95="Täiskoorem"),LOOKUP(C95,'HT-Transport (M3)'!$B$51:$B$68,'HT-Transport (M3)'!$D$51:$D$68),IF(I95="Jah",LOOKUP(C95,'HT-Transport (M3)'!$B$51:$B$68,'HT-Transport (M3)'!$E$51:$E$68),"x ")))</f>
        <v>#N/A</v>
      </c>
      <c r="K95" s="547"/>
      <c r="L95" s="289" t="str">
        <f t="shared" si="29"/>
        <v/>
      </c>
      <c r="M95" s="630" t="e">
        <f>IF(I95="Jah", LOOKUP(C95,'HT-Transport (M3)'!$B$51:$B$62,'HT-Transport (M3)'!$G$51:$G$62),IF(I95= "Ei", " "))</f>
        <v>#N/A</v>
      </c>
      <c r="N95" s="631"/>
      <c r="O95" s="632"/>
      <c r="P95" s="549" t="e">
        <f t="shared" si="30"/>
        <v>#N/A</v>
      </c>
      <c r="Q95" s="549" t="e">
        <f t="shared" si="31"/>
        <v>#N/A</v>
      </c>
      <c r="T95" s="618"/>
      <c r="U95" s="923"/>
      <c r="V95" s="924"/>
      <c r="W95" s="546"/>
      <c r="X95" s="361"/>
      <c r="Y95" s="620">
        <f t="shared" si="32"/>
        <v>0</v>
      </c>
      <c r="Z95" s="629"/>
      <c r="AA95" s="572" t="s">
        <v>75</v>
      </c>
      <c r="AB95" s="621" t="e">
        <f>IF(AND(AA95="Jah",Z95="Osalise koormaga, nt 50% "),LOOKUP(U95,'HT-Transport (M3)'!$B$51:$B$68,'HT-Transport (M3)'!$C$51:$C$68),IF(AND(AA95="Jah",Z95="Täiskoorem"),LOOKUP(U95,'HT-Transport (M3)'!$B$51:$B$68,'HT-Transport (M3)'!$D$51:$D$68),IF(AA95="Jah",LOOKUP(U95,'HT-Transport (M3)'!$B$51:$B$68,'HT-Transport (M3)'!$E$51:$E$68),"x ")))</f>
        <v>#N/A</v>
      </c>
      <c r="AC95" s="547"/>
      <c r="AD95" s="289" t="str">
        <f t="shared" si="40"/>
        <v/>
      </c>
      <c r="AE95" s="630" t="e">
        <f>IF(AA95="Jah", LOOKUP(U95,'HT-Transport (M3)'!$B$51:$B$62,'HT-Transport (M3)'!$G$51:$G$62),IF(AA95= "Ei", " "))</f>
        <v>#N/A</v>
      </c>
      <c r="AF95" s="631"/>
      <c r="AG95" s="632"/>
      <c r="AH95" s="549" t="e">
        <f t="shared" si="34"/>
        <v>#N/A</v>
      </c>
      <c r="AI95" s="549" t="e">
        <f t="shared" si="35"/>
        <v>#N/A</v>
      </c>
      <c r="AL95" s="618"/>
      <c r="AM95" s="923"/>
      <c r="AN95" s="924"/>
      <c r="AO95" s="546"/>
      <c r="AP95" s="361"/>
      <c r="AQ95" s="620">
        <f t="shared" si="36"/>
        <v>0</v>
      </c>
      <c r="AR95" s="629"/>
      <c r="AS95" s="572" t="s">
        <v>75</v>
      </c>
      <c r="AT95" s="621" t="e">
        <f>IF(AND(AS95="Jah",AR95="Osalise koormaga, nt 50% "),LOOKUP(AM95,'HT-Transport (M3)'!$B$51:$B$68,'HT-Transport (M3)'!$C$51:$C$68),IF(AND(AS95="Jah",AR95="Täiskoorem"),LOOKUP(AM95,'HT-Transport (M3)'!$B$51:$B$68,'HT-Transport (M3)'!$D$51:$D$68),IF(AS95="Jah",LOOKUP(AM95,'HT-Transport (M3)'!$B$51:$B$68,'HT-Transport (M3)'!$E$51:$E$68),"x ")))</f>
        <v>#N/A</v>
      </c>
      <c r="AU95" s="547"/>
      <c r="AV95" s="289" t="str">
        <f t="shared" si="41"/>
        <v/>
      </c>
      <c r="AW95" s="630" t="e">
        <f>IF(AS95="Jah", LOOKUP(AM95,'HT-Transport (M3)'!$B$51:$B$62,'HT-Transport (M3)'!$G$51:$G$62),IF(AS95= "Ei", " "))</f>
        <v>#N/A</v>
      </c>
      <c r="AX95" s="631"/>
      <c r="AY95" s="632"/>
      <c r="AZ95" s="549" t="e">
        <f t="shared" si="38"/>
        <v>#N/A</v>
      </c>
      <c r="BA95" s="549" t="e">
        <f t="shared" si="39"/>
        <v>#N/A</v>
      </c>
    </row>
    <row r="96" spans="1:53" ht="15" customHeight="1">
      <c r="B96" s="618"/>
      <c r="C96" s="923"/>
      <c r="D96" s="924"/>
      <c r="E96" s="550"/>
      <c r="F96" s="529"/>
      <c r="G96" s="624">
        <f t="shared" si="28"/>
        <v>0</v>
      </c>
      <c r="H96" s="633"/>
      <c r="I96" s="576" t="s">
        <v>75</v>
      </c>
      <c r="J96" s="621" t="e">
        <f>IF(AND(I96="Jah",H96="Osalise koormaga, nt 50% "),LOOKUP(C96,'HT-Transport (M3)'!$B$51:$B$68,'HT-Transport (M3)'!$C$51:$C$68),IF(AND(I96="Jah",H96="Täiskoorem"),LOOKUP(C96,'HT-Transport (M3)'!$B$51:$B$68,'HT-Transport (M3)'!$D$51:$D$68),IF(I96="Jah",LOOKUP(C96,'HT-Transport (M3)'!$B$51:$B$68,'HT-Transport (M3)'!$E$51:$E$68),"x ")))</f>
        <v>#N/A</v>
      </c>
      <c r="K96" s="547"/>
      <c r="L96" s="289" t="str">
        <f t="shared" si="29"/>
        <v/>
      </c>
      <c r="M96" s="630" t="e">
        <f>IF(I96="Jah", LOOKUP(C96,'HT-Transport (M3)'!$B$51:$B$62,'HT-Transport (M3)'!$G$51:$G$62),IF(I96= "Ei", " "))</f>
        <v>#N/A</v>
      </c>
      <c r="N96" s="634"/>
      <c r="O96" s="635"/>
      <c r="P96" s="549" t="e">
        <f t="shared" si="30"/>
        <v>#N/A</v>
      </c>
      <c r="Q96" s="549" t="e">
        <f t="shared" si="31"/>
        <v>#N/A</v>
      </c>
      <c r="T96" s="618"/>
      <c r="U96" s="923"/>
      <c r="V96" s="924"/>
      <c r="W96" s="550"/>
      <c r="X96" s="529"/>
      <c r="Y96" s="624">
        <f t="shared" si="32"/>
        <v>0</v>
      </c>
      <c r="Z96" s="633"/>
      <c r="AA96" s="576" t="s">
        <v>75</v>
      </c>
      <c r="AB96" s="621" t="e">
        <f>IF(AND(AA96="Jah",Z96="Osalise koormaga, nt 50% "),LOOKUP(U96,'HT-Transport (M3)'!$B$51:$B$68,'HT-Transport (M3)'!$C$51:$C$68),IF(AND(AA96="Jah",Z96="Täiskoorem"),LOOKUP(U96,'HT-Transport (M3)'!$B$51:$B$68,'HT-Transport (M3)'!$D$51:$D$68),IF(AA96="Jah",LOOKUP(U96,'HT-Transport (M3)'!$B$51:$B$68,'HT-Transport (M3)'!$E$51:$E$68),"x ")))</f>
        <v>#N/A</v>
      </c>
      <c r="AC96" s="547"/>
      <c r="AD96" s="289" t="str">
        <f t="shared" si="40"/>
        <v/>
      </c>
      <c r="AE96" s="630" t="e">
        <f>IF(AA96="Jah", LOOKUP(U96,'HT-Transport (M3)'!$B$51:$B$62,'HT-Transport (M3)'!$G$51:$G$62),IF(AA96= "Ei", " "))</f>
        <v>#N/A</v>
      </c>
      <c r="AF96" s="634"/>
      <c r="AG96" s="635"/>
      <c r="AH96" s="549" t="e">
        <f t="shared" si="34"/>
        <v>#N/A</v>
      </c>
      <c r="AI96" s="549" t="e">
        <f t="shared" si="35"/>
        <v>#N/A</v>
      </c>
      <c r="AL96" s="618"/>
      <c r="AM96" s="923"/>
      <c r="AN96" s="924"/>
      <c r="AO96" s="550"/>
      <c r="AP96" s="529"/>
      <c r="AQ96" s="624">
        <f t="shared" si="36"/>
        <v>0</v>
      </c>
      <c r="AR96" s="633"/>
      <c r="AS96" s="576" t="s">
        <v>75</v>
      </c>
      <c r="AT96" s="621" t="e">
        <f>IF(AND(AS96="Jah",AR96="Osalise koormaga, nt 50% "),LOOKUP(AM96,'HT-Transport (M3)'!$B$51:$B$68,'HT-Transport (M3)'!$C$51:$C$68),IF(AND(AS96="Jah",AR96="Täiskoorem"),LOOKUP(AM96,'HT-Transport (M3)'!$B$51:$B$68,'HT-Transport (M3)'!$D$51:$D$68),IF(AS96="Jah",LOOKUP(AM96,'HT-Transport (M3)'!$B$51:$B$68,'HT-Transport (M3)'!$E$51:$E$68),"x ")))</f>
        <v>#N/A</v>
      </c>
      <c r="AU96" s="547"/>
      <c r="AV96" s="289" t="str">
        <f t="shared" si="41"/>
        <v/>
      </c>
      <c r="AW96" s="630" t="e">
        <f>IF(AS96="Jah", LOOKUP(AM96,'HT-Transport (M3)'!$B$51:$B$62,'HT-Transport (M3)'!$G$51:$G$62),IF(AS96= "Ei", " "))</f>
        <v>#N/A</v>
      </c>
      <c r="AX96" s="634"/>
      <c r="AY96" s="635"/>
      <c r="AZ96" s="549" t="e">
        <f t="shared" si="38"/>
        <v>#N/A</v>
      </c>
      <c r="BA96" s="549" t="e">
        <f t="shared" si="39"/>
        <v>#N/A</v>
      </c>
    </row>
    <row r="97" spans="1:53" ht="15" customHeight="1">
      <c r="B97" s="536"/>
      <c r="C97" s="537"/>
      <c r="D97" s="537"/>
      <c r="E97" s="537"/>
      <c r="F97" s="537"/>
      <c r="G97" s="537"/>
      <c r="H97" s="537"/>
      <c r="I97" s="537"/>
      <c r="J97" s="537"/>
      <c r="K97" s="537"/>
      <c r="L97" s="537"/>
      <c r="M97" s="537"/>
      <c r="N97" s="538"/>
      <c r="O97" s="592" t="s">
        <v>1592</v>
      </c>
      <c r="P97" s="627">
        <f>SUMIF(P87:P96,"&lt;&gt;#N/A")</f>
        <v>76597.036848754375</v>
      </c>
      <c r="Q97" s="593">
        <f>SUMIF(Q87:Q96,"&lt;&gt;#N/A")</f>
        <v>76.597036848754385</v>
      </c>
      <c r="T97" s="536"/>
      <c r="U97" s="537"/>
      <c r="V97" s="537"/>
      <c r="W97" s="537"/>
      <c r="X97" s="537"/>
      <c r="Y97" s="537"/>
      <c r="Z97" s="537"/>
      <c r="AA97" s="537"/>
      <c r="AB97" s="537"/>
      <c r="AC97" s="537"/>
      <c r="AD97" s="537"/>
      <c r="AE97" s="537"/>
      <c r="AF97" s="538"/>
      <c r="AG97" s="592" t="s">
        <v>1592</v>
      </c>
      <c r="AH97" s="627">
        <f>SUMIF(AH87:AH96,"&lt;&gt;#N/A")</f>
        <v>0</v>
      </c>
      <c r="AI97" s="593">
        <f>SUMIF(AI87:AI96,"&lt;&gt;#N/A")</f>
        <v>0</v>
      </c>
      <c r="AL97" s="536"/>
      <c r="AM97" s="537"/>
      <c r="AN97" s="537"/>
      <c r="AO97" s="537"/>
      <c r="AP97" s="537"/>
      <c r="AQ97" s="537"/>
      <c r="AR97" s="537"/>
      <c r="AS97" s="537"/>
      <c r="AT97" s="537"/>
      <c r="AU97" s="537"/>
      <c r="AV97" s="537"/>
      <c r="AW97" s="537"/>
      <c r="AX97" s="538"/>
      <c r="AY97" s="592" t="s">
        <v>1592</v>
      </c>
      <c r="AZ97" s="627">
        <f>SUMIF(AZ87:AZ96,"&lt;&gt;#N/A")</f>
        <v>0</v>
      </c>
      <c r="BA97" s="593">
        <f>SUMIF(BA87:BA96,"&lt;&gt;#N/A")</f>
        <v>0</v>
      </c>
    </row>
    <row r="98" spans="1:53" ht="15" customHeight="1">
      <c r="F98" s="297"/>
      <c r="H98" s="297"/>
      <c r="N98" s="636"/>
      <c r="O98" s="636"/>
      <c r="P98" s="637"/>
      <c r="Q98" s="637"/>
      <c r="AF98" s="636"/>
      <c r="AG98" s="636"/>
      <c r="AH98" s="637"/>
      <c r="AI98" s="637"/>
      <c r="AX98" s="636"/>
      <c r="AY98" s="636"/>
      <c r="AZ98" s="637"/>
      <c r="BA98" s="637"/>
    </row>
    <row r="99" spans="1:53" ht="15" customHeight="1">
      <c r="F99" s="297"/>
      <c r="H99" s="297"/>
    </row>
    <row r="100" spans="1:53" s="302" customFormat="1" ht="15" customHeight="1">
      <c r="B100" s="320" t="s">
        <v>1667</v>
      </c>
      <c r="C100" s="321"/>
      <c r="D100" s="321"/>
      <c r="E100" s="639"/>
      <c r="F100" s="321"/>
      <c r="G100" s="321"/>
      <c r="H100" s="321"/>
      <c r="I100" s="321"/>
      <c r="J100" s="321"/>
      <c r="K100" s="321"/>
      <c r="L100" s="321"/>
      <c r="M100" s="321"/>
      <c r="N100" s="321"/>
      <c r="O100" s="321"/>
      <c r="P100" s="321"/>
      <c r="Q100" s="638"/>
      <c r="T100" s="320" t="s">
        <v>1667</v>
      </c>
      <c r="U100" s="321"/>
      <c r="V100" s="321"/>
      <c r="W100" s="639"/>
      <c r="X100" s="321"/>
      <c r="Y100" s="321"/>
      <c r="Z100" s="321"/>
      <c r="AA100" s="321"/>
      <c r="AB100" s="321"/>
      <c r="AC100" s="321"/>
      <c r="AD100" s="321"/>
      <c r="AE100" s="321"/>
      <c r="AF100" s="321"/>
      <c r="AG100" s="321"/>
      <c r="AH100" s="321"/>
      <c r="AI100" s="638"/>
      <c r="AK100" s="297"/>
      <c r="AL100" s="320" t="s">
        <v>1667</v>
      </c>
      <c r="AM100" s="321"/>
      <c r="AN100" s="321"/>
      <c r="AO100" s="639"/>
      <c r="AP100" s="321"/>
      <c r="AQ100" s="321"/>
      <c r="AR100" s="321"/>
      <c r="AS100" s="321"/>
      <c r="AT100" s="321"/>
      <c r="AU100" s="321"/>
      <c r="AV100" s="321"/>
      <c r="AW100" s="321"/>
      <c r="AX100" s="321"/>
      <c r="AY100" s="321"/>
      <c r="AZ100" s="321"/>
      <c r="BA100" s="638"/>
    </row>
    <row r="101" spans="1:53" s="302" customFormat="1" ht="15" customHeight="1">
      <c r="B101" s="320" t="s">
        <v>1643</v>
      </c>
      <c r="C101" s="321"/>
      <c r="D101" s="321"/>
      <c r="E101" s="639"/>
      <c r="F101" s="321"/>
      <c r="G101" s="321"/>
      <c r="H101" s="321"/>
      <c r="I101" s="321"/>
      <c r="J101" s="321"/>
      <c r="K101" s="321"/>
      <c r="L101" s="321"/>
      <c r="M101" s="321"/>
      <c r="N101" s="321"/>
      <c r="O101" s="321"/>
      <c r="P101" s="321"/>
      <c r="Q101" s="638"/>
      <c r="T101" s="320" t="s">
        <v>1643</v>
      </c>
      <c r="U101" s="321"/>
      <c r="V101" s="321"/>
      <c r="W101" s="639"/>
      <c r="X101" s="321"/>
      <c r="Y101" s="321"/>
      <c r="Z101" s="321"/>
      <c r="AA101" s="321"/>
      <c r="AB101" s="321"/>
      <c r="AC101" s="321"/>
      <c r="AD101" s="321"/>
      <c r="AE101" s="321"/>
      <c r="AF101" s="321"/>
      <c r="AG101" s="321"/>
      <c r="AH101" s="321"/>
      <c r="AI101" s="638"/>
      <c r="AK101" s="297"/>
      <c r="AL101" s="320" t="s">
        <v>1643</v>
      </c>
      <c r="AM101" s="321"/>
      <c r="AN101" s="321"/>
      <c r="AO101" s="639"/>
      <c r="AP101" s="321"/>
      <c r="AQ101" s="321"/>
      <c r="AR101" s="321"/>
      <c r="AS101" s="321"/>
      <c r="AT101" s="321"/>
      <c r="AU101" s="321"/>
      <c r="AV101" s="321"/>
      <c r="AW101" s="321"/>
      <c r="AX101" s="321"/>
      <c r="AY101" s="321"/>
      <c r="AZ101" s="321"/>
      <c r="BA101" s="638"/>
    </row>
    <row r="102" spans="1:53" ht="15" customHeight="1">
      <c r="A102" s="297"/>
      <c r="B102" s="926" t="s">
        <v>57</v>
      </c>
      <c r="C102" s="908" t="s">
        <v>1644</v>
      </c>
      <c r="D102" s="909"/>
      <c r="E102" s="925" t="s">
        <v>111</v>
      </c>
      <c r="F102" s="915" t="s">
        <v>107</v>
      </c>
      <c r="G102" s="915" t="s">
        <v>1597</v>
      </c>
      <c r="H102" s="915" t="s">
        <v>108</v>
      </c>
      <c r="I102" s="915" t="s">
        <v>68</v>
      </c>
      <c r="J102" s="915" t="s">
        <v>1532</v>
      </c>
      <c r="K102" s="915" t="s">
        <v>70</v>
      </c>
      <c r="L102" s="926" t="s">
        <v>81</v>
      </c>
      <c r="M102" s="928" t="s">
        <v>71</v>
      </c>
      <c r="N102" s="942"/>
      <c r="O102" s="929"/>
      <c r="P102" s="918" t="s">
        <v>86</v>
      </c>
      <c r="Q102" s="919"/>
      <c r="T102" s="926" t="s">
        <v>57</v>
      </c>
      <c r="U102" s="908" t="s">
        <v>1644</v>
      </c>
      <c r="V102" s="909"/>
      <c r="W102" s="915" t="s">
        <v>106</v>
      </c>
      <c r="X102" s="915" t="s">
        <v>107</v>
      </c>
      <c r="Y102" s="915" t="s">
        <v>1597</v>
      </c>
      <c r="Z102" s="915" t="s">
        <v>108</v>
      </c>
      <c r="AA102" s="915" t="s">
        <v>68</v>
      </c>
      <c r="AB102" s="915" t="s">
        <v>1532</v>
      </c>
      <c r="AC102" s="915" t="s">
        <v>70</v>
      </c>
      <c r="AD102" s="926" t="s">
        <v>81</v>
      </c>
      <c r="AE102" s="928" t="s">
        <v>71</v>
      </c>
      <c r="AF102" s="942"/>
      <c r="AG102" s="929"/>
      <c r="AH102" s="918" t="s">
        <v>86</v>
      </c>
      <c r="AI102" s="919"/>
      <c r="AL102" s="926" t="s">
        <v>57</v>
      </c>
      <c r="AM102" s="908" t="s">
        <v>1644</v>
      </c>
      <c r="AN102" s="909"/>
      <c r="AO102" s="915" t="s">
        <v>106</v>
      </c>
      <c r="AP102" s="915" t="s">
        <v>107</v>
      </c>
      <c r="AQ102" s="915" t="s">
        <v>1597</v>
      </c>
      <c r="AR102" s="915" t="s">
        <v>108</v>
      </c>
      <c r="AS102" s="915" t="s">
        <v>68</v>
      </c>
      <c r="AT102" s="915" t="s">
        <v>1532</v>
      </c>
      <c r="AU102" s="915" t="s">
        <v>70</v>
      </c>
      <c r="AV102" s="926" t="s">
        <v>81</v>
      </c>
      <c r="AW102" s="928" t="s">
        <v>71</v>
      </c>
      <c r="AX102" s="942"/>
      <c r="AY102" s="929"/>
      <c r="AZ102" s="918" t="s">
        <v>86</v>
      </c>
      <c r="BA102" s="919"/>
    </row>
    <row r="103" spans="1:53" ht="15" customHeight="1">
      <c r="A103" s="297"/>
      <c r="B103" s="926"/>
      <c r="C103" s="928"/>
      <c r="D103" s="929"/>
      <c r="E103" s="926"/>
      <c r="F103" s="915"/>
      <c r="G103" s="915"/>
      <c r="H103" s="915"/>
      <c r="I103" s="915"/>
      <c r="J103" s="915"/>
      <c r="K103" s="915"/>
      <c r="L103" s="926"/>
      <c r="M103" s="928"/>
      <c r="N103" s="942"/>
      <c r="O103" s="929"/>
      <c r="P103" s="918"/>
      <c r="Q103" s="919"/>
      <c r="T103" s="926"/>
      <c r="U103" s="928"/>
      <c r="V103" s="929"/>
      <c r="W103" s="915"/>
      <c r="X103" s="915"/>
      <c r="Y103" s="915"/>
      <c r="Z103" s="915"/>
      <c r="AA103" s="915"/>
      <c r="AB103" s="915"/>
      <c r="AC103" s="915"/>
      <c r="AD103" s="926"/>
      <c r="AE103" s="928"/>
      <c r="AF103" s="942"/>
      <c r="AG103" s="929"/>
      <c r="AH103" s="918"/>
      <c r="AI103" s="919"/>
      <c r="AL103" s="926"/>
      <c r="AM103" s="928"/>
      <c r="AN103" s="929"/>
      <c r="AO103" s="915"/>
      <c r="AP103" s="915"/>
      <c r="AQ103" s="915"/>
      <c r="AR103" s="915"/>
      <c r="AS103" s="915"/>
      <c r="AT103" s="915"/>
      <c r="AU103" s="915"/>
      <c r="AV103" s="926"/>
      <c r="AW103" s="928"/>
      <c r="AX103" s="942"/>
      <c r="AY103" s="929"/>
      <c r="AZ103" s="918"/>
      <c r="BA103" s="919"/>
    </row>
    <row r="104" spans="1:53" ht="15" customHeight="1">
      <c r="A104" s="297"/>
      <c r="B104" s="926"/>
      <c r="C104" s="928"/>
      <c r="D104" s="929"/>
      <c r="E104" s="926"/>
      <c r="F104" s="915"/>
      <c r="G104" s="915"/>
      <c r="H104" s="915"/>
      <c r="I104" s="922"/>
      <c r="J104" s="915"/>
      <c r="K104" s="915"/>
      <c r="L104" s="926"/>
      <c r="M104" s="928"/>
      <c r="N104" s="942"/>
      <c r="O104" s="929"/>
      <c r="P104" s="920"/>
      <c r="Q104" s="921"/>
      <c r="T104" s="926"/>
      <c r="U104" s="928"/>
      <c r="V104" s="929"/>
      <c r="W104" s="915"/>
      <c r="X104" s="915"/>
      <c r="Y104" s="915"/>
      <c r="Z104" s="915"/>
      <c r="AA104" s="922"/>
      <c r="AB104" s="915"/>
      <c r="AC104" s="915"/>
      <c r="AD104" s="926"/>
      <c r="AE104" s="928"/>
      <c r="AF104" s="942"/>
      <c r="AG104" s="929"/>
      <c r="AH104" s="920"/>
      <c r="AI104" s="921"/>
      <c r="AL104" s="926"/>
      <c r="AM104" s="928"/>
      <c r="AN104" s="929"/>
      <c r="AO104" s="915"/>
      <c r="AP104" s="915"/>
      <c r="AQ104" s="915"/>
      <c r="AR104" s="915"/>
      <c r="AS104" s="922"/>
      <c r="AT104" s="915"/>
      <c r="AU104" s="915"/>
      <c r="AV104" s="926"/>
      <c r="AW104" s="928"/>
      <c r="AX104" s="942"/>
      <c r="AY104" s="929"/>
      <c r="AZ104" s="920"/>
      <c r="BA104" s="921"/>
    </row>
    <row r="105" spans="1:53" s="365" customFormat="1" ht="15" customHeight="1">
      <c r="A105" s="297"/>
      <c r="B105" s="927"/>
      <c r="C105" s="910"/>
      <c r="D105" s="911"/>
      <c r="E105" s="927"/>
      <c r="F105" s="922"/>
      <c r="G105" s="922"/>
      <c r="H105" s="922"/>
      <c r="I105" s="571" t="s">
        <v>73</v>
      </c>
      <c r="J105" s="922"/>
      <c r="K105" s="922"/>
      <c r="L105" s="927"/>
      <c r="M105" s="910"/>
      <c r="N105" s="943"/>
      <c r="O105" s="911"/>
      <c r="P105" s="545" t="s">
        <v>2085</v>
      </c>
      <c r="Q105" s="545" t="s">
        <v>2086</v>
      </c>
      <c r="T105" s="927"/>
      <c r="U105" s="910"/>
      <c r="V105" s="911"/>
      <c r="W105" s="922"/>
      <c r="X105" s="922"/>
      <c r="Y105" s="922"/>
      <c r="Z105" s="922"/>
      <c r="AA105" s="571" t="s">
        <v>73</v>
      </c>
      <c r="AB105" s="922"/>
      <c r="AC105" s="922"/>
      <c r="AD105" s="927"/>
      <c r="AE105" s="910"/>
      <c r="AF105" s="943"/>
      <c r="AG105" s="911"/>
      <c r="AH105" s="545" t="s">
        <v>2085</v>
      </c>
      <c r="AI105" s="545" t="s">
        <v>2086</v>
      </c>
      <c r="AK105" s="297"/>
      <c r="AL105" s="927"/>
      <c r="AM105" s="910"/>
      <c r="AN105" s="911"/>
      <c r="AO105" s="922"/>
      <c r="AP105" s="922"/>
      <c r="AQ105" s="922"/>
      <c r="AR105" s="922"/>
      <c r="AS105" s="571" t="s">
        <v>73</v>
      </c>
      <c r="AT105" s="922"/>
      <c r="AU105" s="922"/>
      <c r="AV105" s="927"/>
      <c r="AW105" s="910"/>
      <c r="AX105" s="943"/>
      <c r="AY105" s="911"/>
      <c r="AZ105" s="545" t="s">
        <v>2085</v>
      </c>
      <c r="BA105" s="545" t="s">
        <v>2086</v>
      </c>
    </row>
    <row r="106" spans="1:53" ht="15" customHeight="1">
      <c r="A106" s="297"/>
      <c r="B106" s="618">
        <v>1</v>
      </c>
      <c r="C106" s="923" t="s">
        <v>1637</v>
      </c>
      <c r="D106" s="924"/>
      <c r="E106" s="546">
        <v>500</v>
      </c>
      <c r="F106" s="588">
        <v>100</v>
      </c>
      <c r="G106" s="620">
        <f>IF(ISBLANK(F106),E106,F106*E106)</f>
        <v>50000</v>
      </c>
      <c r="H106" s="629"/>
      <c r="I106" s="572" t="s">
        <v>75</v>
      </c>
      <c r="J106" s="621">
        <f>IF(AND(I106="Jah",H106="Osalise koormaga, nt 50% "),LOOKUP(C106,'HT-Transport (M3)'!$B$73:$B$78,'HT-Transport (M3)'!$C$73:$C$78),IF(AND(I106="Jah",H106="Täiskoorem"),LOOKUP(C106,'HT-Transport (M3)'!$B$73:$B$78,'HT-Transport (M3)'!$D$73:$D$78),IF(I106="Jah",LOOKUP(C106,'HT-Transport (M3)'!$B$73:$B$78,'HT-Transport (M3)'!$E$73:$E$78),"x ")))</f>
        <v>0.57506982683287977</v>
      </c>
      <c r="K106" s="547"/>
      <c r="L106" s="289" t="str">
        <f>IF(ISBLANK(C106),"",IF(RIGHT(C106,7)="tonn-km","kg CO₂ ekv/tonn-km","kg CO₂ ekv/km"))</f>
        <v>kg CO₂ ekv/km</v>
      </c>
      <c r="M106" s="630" t="str">
        <f>IF(I106="Jah", LOOKUP(C106,'HT-Transport (M3)'!$B$51:$B$62,'HT-Transport (M3)'!$G$51:$G$62),IF(I106= "Ei", " "))</f>
        <v>Keskmine arvestuslik täiskoorma kaal 40 t (LIPASTO)</v>
      </c>
      <c r="N106" s="631"/>
      <c r="O106" s="632"/>
      <c r="P106" s="549">
        <f>IF(I106="Jah",G106*J106, IF(I106="Ei",G106*K106))</f>
        <v>28753.491341643989</v>
      </c>
      <c r="Q106" s="549">
        <f>P106*0.001</f>
        <v>28.75349134164399</v>
      </c>
      <c r="T106" s="618"/>
      <c r="U106" s="923"/>
      <c r="V106" s="924"/>
      <c r="W106" s="546"/>
      <c r="X106" s="588"/>
      <c r="Y106" s="620">
        <f>IF(ISBLANK(X106),W106,X106*W106)</f>
        <v>0</v>
      </c>
      <c r="Z106" s="629"/>
      <c r="AA106" s="572" t="s">
        <v>75</v>
      </c>
      <c r="AB106" s="621" t="e">
        <f>IF(AND(AA106="Jah",Z106="Osalise koormaga, nt 50% "),LOOKUP(U106,'HT-Transport (M3)'!$B$73:$B$78,'HT-Transport (M3)'!$C$73:$C$78),IF(AND(AA106="Jah",Z106="Täiskoorem"),LOOKUP(U106,'HT-Transport (M3)'!$B$73:$B$78,'HT-Transport (M3)'!$D$73:$D$78),IF(AA106="Jah",LOOKUP(U106,'HT-Transport (M3)'!$B$73:$B$78,'HT-Transport (M3)'!$E$73:$E$78),"x ")))</f>
        <v>#N/A</v>
      </c>
      <c r="AC106" s="547"/>
      <c r="AD106" s="289" t="str">
        <f>IF(ISBLANK(U106),"",IF(RIGHT(U106,7)="tonn-km","kg CO₂ ekv/tonn-km","kg CO₂ ekv/km"))</f>
        <v/>
      </c>
      <c r="AE106" s="630" t="e">
        <f>IF(AA106="Jah", LOOKUP(U106,'HT-Transport (M3)'!$B$51:$B$62,'HT-Transport (M3)'!$G$51:$G$62),IF(AA106= "Ei", " "))</f>
        <v>#N/A</v>
      </c>
      <c r="AF106" s="631"/>
      <c r="AG106" s="632"/>
      <c r="AH106" s="549" t="e">
        <f>IF(AA106="Jah",Y106*AB106, IF(AA106="Ei",Y106*AC106))</f>
        <v>#N/A</v>
      </c>
      <c r="AI106" s="549" t="e">
        <f>AH106*0.001</f>
        <v>#N/A</v>
      </c>
      <c r="AL106" s="618"/>
      <c r="AM106" s="923"/>
      <c r="AN106" s="924"/>
      <c r="AO106" s="546"/>
      <c r="AP106" s="588"/>
      <c r="AQ106" s="620">
        <f>IF(ISBLANK(AP106),AO106,AP106*AO106)</f>
        <v>0</v>
      </c>
      <c r="AR106" s="629"/>
      <c r="AS106" s="572" t="s">
        <v>75</v>
      </c>
      <c r="AT106" s="621" t="e">
        <f>IF(AND(AS106="Jah",AR106="Osalise koormaga, nt 50% "),LOOKUP(AM106,'HT-Transport (M3)'!$B$73:$B$78,'HT-Transport (M3)'!$C$73:$C$78),IF(AND(AS106="Jah",AR106="Täiskoorem"),LOOKUP(AM106,'HT-Transport (M3)'!$B$73:$B$78,'HT-Transport (M3)'!$D$73:$D$78),IF(AS106="Jah",LOOKUP(AM106,'HT-Transport (M3)'!$B$73:$B$78,'HT-Transport (M3)'!$E$73:$E$78),"x ")))</f>
        <v>#N/A</v>
      </c>
      <c r="AU106" s="547"/>
      <c r="AV106" s="289" t="str">
        <f>IF(ISBLANK(AM106),"",IF(RIGHT(AM106,7)="tonn-km","kg CO₂ ekv/tonn-km","kg CO₂ ekv/km"))</f>
        <v/>
      </c>
      <c r="AW106" s="630" t="e">
        <f>IF(AS106="Jah", LOOKUP(AM106,'HT-Transport (M3)'!$B$51:$B$62,'HT-Transport (M3)'!$G$51:$G$62),IF(AS106= "Ei", " "))</f>
        <v>#N/A</v>
      </c>
      <c r="AX106" s="631"/>
      <c r="AY106" s="632"/>
      <c r="AZ106" s="549" t="e">
        <f>IF(AS106="Jah",AQ106*AT106, IF(AS106="Ei",AQ106*AU106))</f>
        <v>#N/A</v>
      </c>
      <c r="BA106" s="549" t="e">
        <f>AZ106*0.001</f>
        <v>#N/A</v>
      </c>
    </row>
    <row r="107" spans="1:53" ht="15" customHeight="1">
      <c r="A107" s="297"/>
      <c r="B107" s="618">
        <v>2</v>
      </c>
      <c r="C107" s="923" t="s">
        <v>1638</v>
      </c>
      <c r="D107" s="924"/>
      <c r="E107" s="546">
        <v>900</v>
      </c>
      <c r="F107" s="546">
        <v>100</v>
      </c>
      <c r="G107" s="620">
        <f t="shared" ref="G107:G115" si="42">IF(ISBLANK(F107),E107,F107*E107)</f>
        <v>90000</v>
      </c>
      <c r="H107" s="629" t="s">
        <v>347</v>
      </c>
      <c r="I107" s="572" t="s">
        <v>75</v>
      </c>
      <c r="J107" s="621">
        <f>IF(AND(I107="Jah",H107="Osalise koormaga, nt 50% "),LOOKUP(C107,'HT-Transport (M3)'!$B$73:$B$78,'HT-Transport (M3)'!$C$73:$C$78),IF(AND(I107="Jah",H107="Täiskoorem"),LOOKUP(C107,'HT-Transport (M3)'!$B$73:$B$78,'HT-Transport (M3)'!$D$73:$D$78),IF(I107="Jah",LOOKUP(C107,'HT-Transport (M3)'!$B$73:$B$78,'HT-Transport (M3)'!$E$73:$E$78),"x ")))</f>
        <v>7.9692972946800791E-2</v>
      </c>
      <c r="K107" s="547"/>
      <c r="L107" s="289" t="str">
        <f t="shared" ref="L107:L115" si="43">IF(ISBLANK(C107),"",IF(RIGHT(C107,7)="tonn-km","kg CO₂ ekv/tonn-km","kg CO₂ ekv/km"))</f>
        <v>kg CO₂ ekv/tonn-km</v>
      </c>
      <c r="M107" s="630" t="str">
        <f>IF(I107="Jah", LOOKUP(C107,'HT-Transport (M3)'!$B$51:$B$62,'HT-Transport (M3)'!$G$51:$G$62),IF(I107= "Ei", " "))</f>
        <v>Keskmine arvestuslik täiskoorma kaal 40 t (LIPASTO)</v>
      </c>
      <c r="N107" s="631"/>
      <c r="O107" s="632"/>
      <c r="P107" s="549">
        <f t="shared" ref="P107:P115" si="44">IF(I107="Jah",G107*J107, IF(I107="Ei",G107*K107))</f>
        <v>7172.367565212071</v>
      </c>
      <c r="Q107" s="549">
        <f t="shared" ref="Q107:Q115" si="45">P107*0.001</f>
        <v>7.1723675652120713</v>
      </c>
      <c r="T107" s="618"/>
      <c r="U107" s="923"/>
      <c r="V107" s="924"/>
      <c r="W107" s="546"/>
      <c r="X107" s="546"/>
      <c r="Y107" s="620">
        <f t="shared" ref="Y107:Y115" si="46">IF(ISBLANK(X107),W107,X107*W107)</f>
        <v>0</v>
      </c>
      <c r="Z107" s="629"/>
      <c r="AA107" s="572" t="s">
        <v>75</v>
      </c>
      <c r="AB107" s="621" t="e">
        <f>IF(AND(AA107="Jah",Z107="Osalise koormaga, nt 50% "),LOOKUP(U107,'HT-Transport (M3)'!$B$73:$B$78,'HT-Transport (M3)'!$C$73:$C$78),IF(AND(AA107="Jah",Z107="Täiskoorem"),LOOKUP(U107,'HT-Transport (M3)'!$B$73:$B$78,'HT-Transport (M3)'!$D$73:$D$78),IF(AA107="Jah",LOOKUP(U107,'HT-Transport (M3)'!$B$73:$B$78,'HT-Transport (M3)'!$E$73:$E$78),"x ")))</f>
        <v>#N/A</v>
      </c>
      <c r="AC107" s="547"/>
      <c r="AD107" s="289" t="str">
        <f t="shared" ref="AD107:AD115" si="47">IF(ISBLANK(U107),"",IF(RIGHT(U107,7)="tonn-km","kg CO₂ ekv/tonn-km","kg CO₂ ekv/km"))</f>
        <v/>
      </c>
      <c r="AE107" s="630" t="e">
        <f>IF(AA107="Jah", LOOKUP(U107,'HT-Transport (M3)'!$B$51:$B$62,'HT-Transport (M3)'!$G$51:$G$62),IF(AA107= "Ei", " "))</f>
        <v>#N/A</v>
      </c>
      <c r="AF107" s="631"/>
      <c r="AG107" s="632"/>
      <c r="AH107" s="549" t="e">
        <f t="shared" ref="AH107:AH115" si="48">IF(AA107="Jah",Y107*AB107, IF(AA107="Ei",Y107*AC107))</f>
        <v>#N/A</v>
      </c>
      <c r="AI107" s="549" t="e">
        <f t="shared" ref="AI107:AI115" si="49">AH107*0.001</f>
        <v>#N/A</v>
      </c>
      <c r="AL107" s="618"/>
      <c r="AM107" s="923"/>
      <c r="AN107" s="924"/>
      <c r="AO107" s="546"/>
      <c r="AP107" s="546"/>
      <c r="AQ107" s="620">
        <f t="shared" ref="AQ107:AQ115" si="50">IF(ISBLANK(AP107),AO107,AP107*AO107)</f>
        <v>0</v>
      </c>
      <c r="AR107" s="629"/>
      <c r="AS107" s="572" t="s">
        <v>75</v>
      </c>
      <c r="AT107" s="621" t="e">
        <f>IF(AND(AS107="Jah",AR107="Osalise koormaga, nt 50% "),LOOKUP(AM107,'HT-Transport (M3)'!$B$73:$B$78,'HT-Transport (M3)'!$C$73:$C$78),IF(AND(AS107="Jah",AR107="Täiskoorem"),LOOKUP(AM107,'HT-Transport (M3)'!$B$73:$B$78,'HT-Transport (M3)'!$D$73:$D$78),IF(AS107="Jah",LOOKUP(AM107,'HT-Transport (M3)'!$B$73:$B$78,'HT-Transport (M3)'!$E$73:$E$78),"x ")))</f>
        <v>#N/A</v>
      </c>
      <c r="AU107" s="547"/>
      <c r="AV107" s="289" t="str">
        <f t="shared" ref="AV107:AV115" si="51">IF(ISBLANK(AM107),"",IF(RIGHT(AM107,7)="tonn-km","kg CO₂ ekv/tonn-km","kg CO₂ ekv/km"))</f>
        <v/>
      </c>
      <c r="AW107" s="630" t="e">
        <f>IF(AS107="Jah", LOOKUP(AM107,'HT-Transport (M3)'!$B$51:$B$62,'HT-Transport (M3)'!$G$51:$G$62),IF(AS107= "Ei", " "))</f>
        <v>#N/A</v>
      </c>
      <c r="AX107" s="631"/>
      <c r="AY107" s="632"/>
      <c r="AZ107" s="549" t="e">
        <f t="shared" ref="AZ107:AZ115" si="52">IF(AS107="Jah",AQ107*AT107, IF(AS107="Ei",AQ107*AU107))</f>
        <v>#N/A</v>
      </c>
      <c r="BA107" s="549" t="e">
        <f t="shared" ref="BA107:BA115" si="53">AZ107*0.001</f>
        <v>#N/A</v>
      </c>
    </row>
    <row r="108" spans="1:53" ht="15" customHeight="1">
      <c r="B108" s="618"/>
      <c r="C108" s="923"/>
      <c r="D108" s="924"/>
      <c r="E108" s="546"/>
      <c r="F108" s="546"/>
      <c r="G108" s="620">
        <f t="shared" si="42"/>
        <v>0</v>
      </c>
      <c r="H108" s="629"/>
      <c r="I108" s="572" t="s">
        <v>75</v>
      </c>
      <c r="J108" s="621" t="e">
        <f>IF(AND(I108="Jah",H108="Osalise koormaga, nt 50% "),LOOKUP(C108,'HT-Transport (M3)'!$B$73:$B$78,'HT-Transport (M3)'!$C$73:$C$78),IF(AND(I108="Jah",H108="Täiskoorem"),LOOKUP(C108,'HT-Transport (M3)'!$B$73:$B$78,'HT-Transport (M3)'!$D$73:$D$78),IF(I108="Jah",LOOKUP(C108,'HT-Transport (M3)'!$B$73:$B$78,'HT-Transport (M3)'!$E$73:$E$78),"x ")))</f>
        <v>#N/A</v>
      </c>
      <c r="K108" s="547"/>
      <c r="L108" s="289" t="str">
        <f t="shared" si="43"/>
        <v/>
      </c>
      <c r="M108" s="630" t="e">
        <f>IF(I108="Jah", LOOKUP(C108,'HT-Transport (M3)'!$B$51:$B$62,'HT-Transport (M3)'!$G$51:$G$62),IF(I108= "Ei", " "))</f>
        <v>#N/A</v>
      </c>
      <c r="N108" s="631"/>
      <c r="O108" s="632"/>
      <c r="P108" s="549" t="e">
        <f t="shared" si="44"/>
        <v>#N/A</v>
      </c>
      <c r="Q108" s="549" t="e">
        <f t="shared" si="45"/>
        <v>#N/A</v>
      </c>
      <c r="T108" s="618"/>
      <c r="U108" s="923"/>
      <c r="V108" s="924"/>
      <c r="W108" s="546"/>
      <c r="X108" s="546"/>
      <c r="Y108" s="620">
        <f t="shared" si="46"/>
        <v>0</v>
      </c>
      <c r="Z108" s="629"/>
      <c r="AA108" s="572" t="s">
        <v>75</v>
      </c>
      <c r="AB108" s="621" t="e">
        <f>IF(AND(AA108="Jah",Z108="Osalise koormaga, nt 50% "),LOOKUP(U108,'HT-Transport (M3)'!$B$73:$B$78,'HT-Transport (M3)'!$C$73:$C$78),IF(AND(AA108="Jah",Z108="Täiskoorem"),LOOKUP(U108,'HT-Transport (M3)'!$B$73:$B$78,'HT-Transport (M3)'!$D$73:$D$78),IF(AA108="Jah",LOOKUP(U108,'HT-Transport (M3)'!$B$73:$B$78,'HT-Transport (M3)'!$E$73:$E$78),"x ")))</f>
        <v>#N/A</v>
      </c>
      <c r="AC108" s="547"/>
      <c r="AD108" s="289" t="str">
        <f t="shared" si="47"/>
        <v/>
      </c>
      <c r="AE108" s="630" t="e">
        <f>IF(AA108="Jah", LOOKUP(U108,'HT-Transport (M3)'!$B$51:$B$62,'HT-Transport (M3)'!$G$51:$G$62),IF(AA108= "Ei", " "))</f>
        <v>#N/A</v>
      </c>
      <c r="AF108" s="631"/>
      <c r="AG108" s="632"/>
      <c r="AH108" s="549" t="e">
        <f t="shared" si="48"/>
        <v>#N/A</v>
      </c>
      <c r="AI108" s="549" t="e">
        <f t="shared" si="49"/>
        <v>#N/A</v>
      </c>
      <c r="AL108" s="618"/>
      <c r="AM108" s="923"/>
      <c r="AN108" s="924"/>
      <c r="AO108" s="546"/>
      <c r="AP108" s="546"/>
      <c r="AQ108" s="620">
        <f t="shared" si="50"/>
        <v>0</v>
      </c>
      <c r="AR108" s="629"/>
      <c r="AS108" s="572" t="s">
        <v>75</v>
      </c>
      <c r="AT108" s="621" t="e">
        <f>IF(AND(AS108="Jah",AR108="Osalise koormaga, nt 50% "),LOOKUP(AM108,'HT-Transport (M3)'!$B$73:$B$78,'HT-Transport (M3)'!$C$73:$C$78),IF(AND(AS108="Jah",AR108="Täiskoorem"),LOOKUP(AM108,'HT-Transport (M3)'!$B$73:$B$78,'HT-Transport (M3)'!$D$73:$D$78),IF(AS108="Jah",LOOKUP(AM108,'HT-Transport (M3)'!$B$73:$B$78,'HT-Transport (M3)'!$E$73:$E$78),"x ")))</f>
        <v>#N/A</v>
      </c>
      <c r="AU108" s="547"/>
      <c r="AV108" s="289" t="str">
        <f t="shared" si="51"/>
        <v/>
      </c>
      <c r="AW108" s="630" t="e">
        <f>IF(AS108="Jah", LOOKUP(AM108,'HT-Transport (M3)'!$B$51:$B$62,'HT-Transport (M3)'!$G$51:$G$62),IF(AS108= "Ei", " "))</f>
        <v>#N/A</v>
      </c>
      <c r="AX108" s="631"/>
      <c r="AY108" s="632"/>
      <c r="AZ108" s="549" t="e">
        <f t="shared" si="52"/>
        <v>#N/A</v>
      </c>
      <c r="BA108" s="549" t="e">
        <f t="shared" si="53"/>
        <v>#N/A</v>
      </c>
    </row>
    <row r="109" spans="1:53" ht="15" customHeight="1">
      <c r="B109" s="618"/>
      <c r="C109" s="923"/>
      <c r="D109" s="924"/>
      <c r="E109" s="546"/>
      <c r="F109" s="546"/>
      <c r="G109" s="620">
        <f t="shared" si="42"/>
        <v>0</v>
      </c>
      <c r="H109" s="629"/>
      <c r="I109" s="572" t="s">
        <v>75</v>
      </c>
      <c r="J109" s="621" t="e">
        <f>IF(AND(I109="Jah",H109="Osalise koormaga, nt 50% "),LOOKUP(C109,'HT-Transport (M3)'!$B$73:$B$78,'HT-Transport (M3)'!$C$73:$C$78),IF(AND(I109="Jah",H109="Täiskoorem"),LOOKUP(C109,'HT-Transport (M3)'!$B$73:$B$78,'HT-Transport (M3)'!$D$73:$D$78),IF(I109="Jah",LOOKUP(C109,'HT-Transport (M3)'!$B$73:$B$78,'HT-Transport (M3)'!$E$73:$E$78),"x ")))</f>
        <v>#N/A</v>
      </c>
      <c r="K109" s="547"/>
      <c r="L109" s="289" t="str">
        <f t="shared" si="43"/>
        <v/>
      </c>
      <c r="M109" s="630" t="e">
        <f>IF(I109="Jah", LOOKUP(C109,'HT-Transport (M3)'!$B$51:$B$62,'HT-Transport (M3)'!$G$51:$G$62),IF(I109= "Ei", " "))</f>
        <v>#N/A</v>
      </c>
      <c r="N109" s="631"/>
      <c r="O109" s="632"/>
      <c r="P109" s="549" t="e">
        <f t="shared" si="44"/>
        <v>#N/A</v>
      </c>
      <c r="Q109" s="549" t="e">
        <f t="shared" si="45"/>
        <v>#N/A</v>
      </c>
      <c r="T109" s="618"/>
      <c r="U109" s="923"/>
      <c r="V109" s="924"/>
      <c r="W109" s="546"/>
      <c r="X109" s="546"/>
      <c r="Y109" s="620">
        <f t="shared" si="46"/>
        <v>0</v>
      </c>
      <c r="Z109" s="629"/>
      <c r="AA109" s="572" t="s">
        <v>75</v>
      </c>
      <c r="AB109" s="621" t="e">
        <f>IF(AND(AA109="Jah",Z109="Osalise koormaga, nt 50% "),LOOKUP(U109,'HT-Transport (M3)'!$B$73:$B$78,'HT-Transport (M3)'!$C$73:$C$78),IF(AND(AA109="Jah",Z109="Täiskoorem"),LOOKUP(U109,'HT-Transport (M3)'!$B$73:$B$78,'HT-Transport (M3)'!$D$73:$D$78),IF(AA109="Jah",LOOKUP(U109,'HT-Transport (M3)'!$B$73:$B$78,'HT-Transport (M3)'!$E$73:$E$78),"x ")))</f>
        <v>#N/A</v>
      </c>
      <c r="AC109" s="547"/>
      <c r="AD109" s="289" t="str">
        <f t="shared" si="47"/>
        <v/>
      </c>
      <c r="AE109" s="630" t="e">
        <f>IF(AA109="Jah", LOOKUP(U109,'HT-Transport (M3)'!$B$51:$B$62,'HT-Transport (M3)'!$G$51:$G$62),IF(AA109= "Ei", " "))</f>
        <v>#N/A</v>
      </c>
      <c r="AF109" s="631"/>
      <c r="AG109" s="632"/>
      <c r="AH109" s="549" t="e">
        <f t="shared" si="48"/>
        <v>#N/A</v>
      </c>
      <c r="AI109" s="549" t="e">
        <f t="shared" si="49"/>
        <v>#N/A</v>
      </c>
      <c r="AL109" s="618"/>
      <c r="AM109" s="923"/>
      <c r="AN109" s="924"/>
      <c r="AO109" s="546"/>
      <c r="AP109" s="546"/>
      <c r="AQ109" s="620">
        <f t="shared" si="50"/>
        <v>0</v>
      </c>
      <c r="AR109" s="629"/>
      <c r="AS109" s="572" t="s">
        <v>75</v>
      </c>
      <c r="AT109" s="621" t="e">
        <f>IF(AND(AS109="Jah",AR109="Osalise koormaga, nt 50% "),LOOKUP(AM109,'HT-Transport (M3)'!$B$73:$B$78,'HT-Transport (M3)'!$C$73:$C$78),IF(AND(AS109="Jah",AR109="Täiskoorem"),LOOKUP(AM109,'HT-Transport (M3)'!$B$73:$B$78,'HT-Transport (M3)'!$D$73:$D$78),IF(AS109="Jah",LOOKUP(AM109,'HT-Transport (M3)'!$B$73:$B$78,'HT-Transport (M3)'!$E$73:$E$78),"x ")))</f>
        <v>#N/A</v>
      </c>
      <c r="AU109" s="547"/>
      <c r="AV109" s="289" t="str">
        <f t="shared" si="51"/>
        <v/>
      </c>
      <c r="AW109" s="630" t="e">
        <f>IF(AS109="Jah", LOOKUP(AM109,'HT-Transport (M3)'!$B$51:$B$62,'HT-Transport (M3)'!$G$51:$G$62),IF(AS109= "Ei", " "))</f>
        <v>#N/A</v>
      </c>
      <c r="AX109" s="631"/>
      <c r="AY109" s="632"/>
      <c r="AZ109" s="549" t="e">
        <f t="shared" si="52"/>
        <v>#N/A</v>
      </c>
      <c r="BA109" s="549" t="e">
        <f t="shared" si="53"/>
        <v>#N/A</v>
      </c>
    </row>
    <row r="110" spans="1:53" ht="15" customHeight="1">
      <c r="B110" s="618"/>
      <c r="C110" s="923"/>
      <c r="D110" s="924"/>
      <c r="E110" s="546"/>
      <c r="F110" s="546"/>
      <c r="G110" s="620">
        <f t="shared" si="42"/>
        <v>0</v>
      </c>
      <c r="H110" s="629"/>
      <c r="I110" s="572" t="s">
        <v>75</v>
      </c>
      <c r="J110" s="621" t="e">
        <f>IF(AND(I110="Jah",H110="Osalise koormaga, nt 50% "),LOOKUP(C110,'HT-Transport (M3)'!$B$73:$B$78,'HT-Transport (M3)'!$C$73:$C$78),IF(AND(I110="Jah",H110="Täiskoorem"),LOOKUP(C110,'HT-Transport (M3)'!$B$73:$B$78,'HT-Transport (M3)'!$D$73:$D$78),IF(I110="Jah",LOOKUP(C110,'HT-Transport (M3)'!$B$73:$B$78,'HT-Transport (M3)'!$E$73:$E$78),"x ")))</f>
        <v>#N/A</v>
      </c>
      <c r="K110" s="547"/>
      <c r="L110" s="289" t="str">
        <f t="shared" si="43"/>
        <v/>
      </c>
      <c r="M110" s="630" t="e">
        <f>IF(I110="Jah", LOOKUP(C110,'HT-Transport (M3)'!$B$51:$B$62,'HT-Transport (M3)'!$G$51:$G$62),IF(I110= "Ei", " "))</f>
        <v>#N/A</v>
      </c>
      <c r="N110" s="631"/>
      <c r="O110" s="632"/>
      <c r="P110" s="549" t="e">
        <f t="shared" si="44"/>
        <v>#N/A</v>
      </c>
      <c r="Q110" s="549" t="e">
        <f t="shared" si="45"/>
        <v>#N/A</v>
      </c>
      <c r="T110" s="618"/>
      <c r="U110" s="923"/>
      <c r="V110" s="924"/>
      <c r="W110" s="546"/>
      <c r="X110" s="546"/>
      <c r="Y110" s="620">
        <f t="shared" si="46"/>
        <v>0</v>
      </c>
      <c r="Z110" s="629"/>
      <c r="AA110" s="572" t="s">
        <v>75</v>
      </c>
      <c r="AB110" s="621" t="e">
        <f>IF(AND(AA110="Jah",Z110="Osalise koormaga, nt 50% "),LOOKUP(U110,'HT-Transport (M3)'!$B$73:$B$78,'HT-Transport (M3)'!$C$73:$C$78),IF(AND(AA110="Jah",Z110="Täiskoorem"),LOOKUP(U110,'HT-Transport (M3)'!$B$73:$B$78,'HT-Transport (M3)'!$D$73:$D$78),IF(AA110="Jah",LOOKUP(U110,'HT-Transport (M3)'!$B$73:$B$78,'HT-Transport (M3)'!$E$73:$E$78),"x ")))</f>
        <v>#N/A</v>
      </c>
      <c r="AC110" s="547"/>
      <c r="AD110" s="289" t="str">
        <f t="shared" si="47"/>
        <v/>
      </c>
      <c r="AE110" s="630" t="e">
        <f>IF(AA110="Jah", LOOKUP(U110,'HT-Transport (M3)'!$B$51:$B$62,'HT-Transport (M3)'!$G$51:$G$62),IF(AA110= "Ei", " "))</f>
        <v>#N/A</v>
      </c>
      <c r="AF110" s="631"/>
      <c r="AG110" s="632"/>
      <c r="AH110" s="549" t="e">
        <f t="shared" si="48"/>
        <v>#N/A</v>
      </c>
      <c r="AI110" s="549" t="e">
        <f t="shared" si="49"/>
        <v>#N/A</v>
      </c>
      <c r="AL110" s="618"/>
      <c r="AM110" s="923"/>
      <c r="AN110" s="924"/>
      <c r="AO110" s="546"/>
      <c r="AP110" s="546"/>
      <c r="AQ110" s="620">
        <f t="shared" si="50"/>
        <v>0</v>
      </c>
      <c r="AR110" s="629"/>
      <c r="AS110" s="572" t="s">
        <v>75</v>
      </c>
      <c r="AT110" s="621" t="e">
        <f>IF(AND(AS110="Jah",AR110="Osalise koormaga, nt 50% "),LOOKUP(AM110,'HT-Transport (M3)'!$B$73:$B$78,'HT-Transport (M3)'!$C$73:$C$78),IF(AND(AS110="Jah",AR110="Täiskoorem"),LOOKUP(AM110,'HT-Transport (M3)'!$B$73:$B$78,'HT-Transport (M3)'!$D$73:$D$78),IF(AS110="Jah",LOOKUP(AM110,'HT-Transport (M3)'!$B$73:$B$78,'HT-Transport (M3)'!$E$73:$E$78),"x ")))</f>
        <v>#N/A</v>
      </c>
      <c r="AU110" s="547"/>
      <c r="AV110" s="289" t="str">
        <f t="shared" si="51"/>
        <v/>
      </c>
      <c r="AW110" s="630" t="e">
        <f>IF(AS110="Jah", LOOKUP(AM110,'HT-Transport (M3)'!$B$51:$B$62,'HT-Transport (M3)'!$G$51:$G$62),IF(AS110= "Ei", " "))</f>
        <v>#N/A</v>
      </c>
      <c r="AX110" s="631"/>
      <c r="AY110" s="632"/>
      <c r="AZ110" s="549" t="e">
        <f t="shared" si="52"/>
        <v>#N/A</v>
      </c>
      <c r="BA110" s="549" t="e">
        <f t="shared" si="53"/>
        <v>#N/A</v>
      </c>
    </row>
    <row r="111" spans="1:53" ht="15" customHeight="1">
      <c r="B111" s="618"/>
      <c r="C111" s="923"/>
      <c r="D111" s="924"/>
      <c r="E111" s="546"/>
      <c r="F111" s="546"/>
      <c r="G111" s="620">
        <f t="shared" si="42"/>
        <v>0</v>
      </c>
      <c r="H111" s="629"/>
      <c r="I111" s="572" t="s">
        <v>75</v>
      </c>
      <c r="J111" s="621" t="e">
        <f>IF(AND(I111="Jah",H111="Osalise koormaga, nt 50% "),LOOKUP(C111,'HT-Transport (M3)'!$B$73:$B$78,'HT-Transport (M3)'!$C$73:$C$78),IF(AND(I111="Jah",H111="Täiskoorem"),LOOKUP(C111,'HT-Transport (M3)'!$B$73:$B$78,'HT-Transport (M3)'!$D$73:$D$78),IF(I111="Jah",LOOKUP(C111,'HT-Transport (M3)'!$B$73:$B$78,'HT-Transport (M3)'!$E$73:$E$78),"x ")))</f>
        <v>#N/A</v>
      </c>
      <c r="K111" s="547"/>
      <c r="L111" s="289" t="str">
        <f t="shared" si="43"/>
        <v/>
      </c>
      <c r="M111" s="630" t="e">
        <f>IF(I111="Jah", LOOKUP(C111,'HT-Transport (M3)'!$B$51:$B$62,'HT-Transport (M3)'!$G$51:$G$62),IF(I111= "Ei", " "))</f>
        <v>#N/A</v>
      </c>
      <c r="N111" s="631"/>
      <c r="O111" s="632"/>
      <c r="P111" s="549" t="e">
        <f t="shared" si="44"/>
        <v>#N/A</v>
      </c>
      <c r="Q111" s="549" t="e">
        <f t="shared" si="45"/>
        <v>#N/A</v>
      </c>
      <c r="T111" s="618"/>
      <c r="U111" s="923"/>
      <c r="V111" s="924"/>
      <c r="W111" s="546"/>
      <c r="X111" s="546"/>
      <c r="Y111" s="620">
        <f t="shared" si="46"/>
        <v>0</v>
      </c>
      <c r="Z111" s="629"/>
      <c r="AA111" s="572" t="s">
        <v>75</v>
      </c>
      <c r="AB111" s="621" t="e">
        <f>IF(AND(AA111="Jah",Z111="Osalise koormaga, nt 50% "),LOOKUP(U111,'HT-Transport (M3)'!$B$73:$B$78,'HT-Transport (M3)'!$C$73:$C$78),IF(AND(AA111="Jah",Z111="Täiskoorem"),LOOKUP(U111,'HT-Transport (M3)'!$B$73:$B$78,'HT-Transport (M3)'!$D$73:$D$78),IF(AA111="Jah",LOOKUP(U111,'HT-Transport (M3)'!$B$73:$B$78,'HT-Transport (M3)'!$E$73:$E$78),"x ")))</f>
        <v>#N/A</v>
      </c>
      <c r="AC111" s="547"/>
      <c r="AD111" s="289" t="str">
        <f t="shared" si="47"/>
        <v/>
      </c>
      <c r="AE111" s="630" t="e">
        <f>IF(AA111="Jah", LOOKUP(U111,'HT-Transport (M3)'!$B$51:$B$62,'HT-Transport (M3)'!$G$51:$G$62),IF(AA111= "Ei", " "))</f>
        <v>#N/A</v>
      </c>
      <c r="AF111" s="631"/>
      <c r="AG111" s="632"/>
      <c r="AH111" s="549" t="e">
        <f t="shared" si="48"/>
        <v>#N/A</v>
      </c>
      <c r="AI111" s="549" t="e">
        <f t="shared" si="49"/>
        <v>#N/A</v>
      </c>
      <c r="AL111" s="618"/>
      <c r="AM111" s="923"/>
      <c r="AN111" s="924"/>
      <c r="AO111" s="546"/>
      <c r="AP111" s="546"/>
      <c r="AQ111" s="620">
        <f t="shared" si="50"/>
        <v>0</v>
      </c>
      <c r="AR111" s="629"/>
      <c r="AS111" s="572" t="s">
        <v>75</v>
      </c>
      <c r="AT111" s="621" t="e">
        <f>IF(AND(AS111="Jah",AR111="Osalise koormaga, nt 50% "),LOOKUP(AM111,'HT-Transport (M3)'!$B$73:$B$78,'HT-Transport (M3)'!$C$73:$C$78),IF(AND(AS111="Jah",AR111="Täiskoorem"),LOOKUP(AM111,'HT-Transport (M3)'!$B$73:$B$78,'HT-Transport (M3)'!$D$73:$D$78),IF(AS111="Jah",LOOKUP(AM111,'HT-Transport (M3)'!$B$73:$B$78,'HT-Transport (M3)'!$E$73:$E$78),"x ")))</f>
        <v>#N/A</v>
      </c>
      <c r="AU111" s="547"/>
      <c r="AV111" s="289" t="str">
        <f t="shared" si="51"/>
        <v/>
      </c>
      <c r="AW111" s="630" t="e">
        <f>IF(AS111="Jah", LOOKUP(AM111,'HT-Transport (M3)'!$B$51:$B$62,'HT-Transport (M3)'!$G$51:$G$62),IF(AS111= "Ei", " "))</f>
        <v>#N/A</v>
      </c>
      <c r="AX111" s="631"/>
      <c r="AY111" s="632"/>
      <c r="AZ111" s="549" t="e">
        <f t="shared" si="52"/>
        <v>#N/A</v>
      </c>
      <c r="BA111" s="549" t="e">
        <f t="shared" si="53"/>
        <v>#N/A</v>
      </c>
    </row>
    <row r="112" spans="1:53" ht="15" customHeight="1">
      <c r="B112" s="618"/>
      <c r="C112" s="923"/>
      <c r="D112" s="924"/>
      <c r="E112" s="546"/>
      <c r="F112" s="546"/>
      <c r="G112" s="620">
        <f t="shared" si="42"/>
        <v>0</v>
      </c>
      <c r="H112" s="629"/>
      <c r="I112" s="572" t="s">
        <v>75</v>
      </c>
      <c r="J112" s="621" t="e">
        <f>IF(AND(I112="Jah",H112="Osalise koormaga, nt 50% "),LOOKUP(C112,'HT-Transport (M3)'!$B$73:$B$78,'HT-Transport (M3)'!$C$73:$C$78),IF(AND(I112="Jah",H112="Täiskoorem"),LOOKUP(C112,'HT-Transport (M3)'!$B$73:$B$78,'HT-Transport (M3)'!$D$73:$D$78),IF(I112="Jah",LOOKUP(C112,'HT-Transport (M3)'!$B$73:$B$78,'HT-Transport (M3)'!$E$73:$E$78),"x ")))</f>
        <v>#N/A</v>
      </c>
      <c r="K112" s="547"/>
      <c r="L112" s="289" t="str">
        <f t="shared" si="43"/>
        <v/>
      </c>
      <c r="M112" s="630" t="e">
        <f>IF(I112="Jah", LOOKUP(C112,'HT-Transport (M3)'!$B$51:$B$62,'HT-Transport (M3)'!$G$51:$G$62),IF(I112= "Ei", " "))</f>
        <v>#N/A</v>
      </c>
      <c r="N112" s="631"/>
      <c r="O112" s="632"/>
      <c r="P112" s="549" t="e">
        <f t="shared" si="44"/>
        <v>#N/A</v>
      </c>
      <c r="Q112" s="549" t="e">
        <f t="shared" si="45"/>
        <v>#N/A</v>
      </c>
      <c r="T112" s="618"/>
      <c r="U112" s="923"/>
      <c r="V112" s="924"/>
      <c r="W112" s="546"/>
      <c r="X112" s="546"/>
      <c r="Y112" s="620">
        <f t="shared" si="46"/>
        <v>0</v>
      </c>
      <c r="Z112" s="629"/>
      <c r="AA112" s="572" t="s">
        <v>75</v>
      </c>
      <c r="AB112" s="621" t="e">
        <f>IF(AND(AA112="Jah",Z112="Osalise koormaga, nt 50% "),LOOKUP(U112,'HT-Transport (M3)'!$B$73:$B$78,'HT-Transport (M3)'!$C$73:$C$78),IF(AND(AA112="Jah",Z112="Täiskoorem"),LOOKUP(U112,'HT-Transport (M3)'!$B$73:$B$78,'HT-Transport (M3)'!$D$73:$D$78),IF(AA112="Jah",LOOKUP(U112,'HT-Transport (M3)'!$B$73:$B$78,'HT-Transport (M3)'!$E$73:$E$78),"x ")))</f>
        <v>#N/A</v>
      </c>
      <c r="AC112" s="547"/>
      <c r="AD112" s="289" t="str">
        <f t="shared" si="47"/>
        <v/>
      </c>
      <c r="AE112" s="630" t="e">
        <f>IF(AA112="Jah", LOOKUP(U112,'HT-Transport (M3)'!$B$51:$B$62,'HT-Transport (M3)'!$G$51:$G$62),IF(AA112= "Ei", " "))</f>
        <v>#N/A</v>
      </c>
      <c r="AF112" s="631"/>
      <c r="AG112" s="632"/>
      <c r="AH112" s="549" t="e">
        <f t="shared" si="48"/>
        <v>#N/A</v>
      </c>
      <c r="AI112" s="549" t="e">
        <f t="shared" si="49"/>
        <v>#N/A</v>
      </c>
      <c r="AL112" s="618"/>
      <c r="AM112" s="923"/>
      <c r="AN112" s="924"/>
      <c r="AO112" s="546"/>
      <c r="AP112" s="546"/>
      <c r="AQ112" s="620">
        <f t="shared" si="50"/>
        <v>0</v>
      </c>
      <c r="AR112" s="629"/>
      <c r="AS112" s="572" t="s">
        <v>75</v>
      </c>
      <c r="AT112" s="621" t="e">
        <f>IF(AND(AS112="Jah",AR112="Osalise koormaga, nt 50% "),LOOKUP(AM112,'HT-Transport (M3)'!$B$73:$B$78,'HT-Transport (M3)'!$C$73:$C$78),IF(AND(AS112="Jah",AR112="Täiskoorem"),LOOKUP(AM112,'HT-Transport (M3)'!$B$73:$B$78,'HT-Transport (M3)'!$D$73:$D$78),IF(AS112="Jah",LOOKUP(AM112,'HT-Transport (M3)'!$B$73:$B$78,'HT-Transport (M3)'!$E$73:$E$78),"x ")))</f>
        <v>#N/A</v>
      </c>
      <c r="AU112" s="547"/>
      <c r="AV112" s="289" t="str">
        <f t="shared" si="51"/>
        <v/>
      </c>
      <c r="AW112" s="630" t="e">
        <f>IF(AS112="Jah", LOOKUP(AM112,'HT-Transport (M3)'!$B$51:$B$62,'HT-Transport (M3)'!$G$51:$G$62),IF(AS112= "Ei", " "))</f>
        <v>#N/A</v>
      </c>
      <c r="AX112" s="631"/>
      <c r="AY112" s="632"/>
      <c r="AZ112" s="549" t="e">
        <f t="shared" si="52"/>
        <v>#N/A</v>
      </c>
      <c r="BA112" s="549" t="e">
        <f t="shared" si="53"/>
        <v>#N/A</v>
      </c>
    </row>
    <row r="113" spans="2:53" ht="15" customHeight="1">
      <c r="B113" s="618"/>
      <c r="C113" s="923"/>
      <c r="D113" s="924"/>
      <c r="E113" s="546"/>
      <c r="F113" s="546"/>
      <c r="G113" s="620">
        <f t="shared" si="42"/>
        <v>0</v>
      </c>
      <c r="H113" s="629"/>
      <c r="I113" s="572" t="s">
        <v>75</v>
      </c>
      <c r="J113" s="621" t="e">
        <f>IF(AND(I113="Jah",H113="Osalise koormaga, nt 50% "),LOOKUP(C113,'HT-Transport (M3)'!$B$73:$B$78,'HT-Transport (M3)'!$C$73:$C$78),IF(AND(I113="Jah",H113="Täiskoorem"),LOOKUP(C113,'HT-Transport (M3)'!$B$73:$B$78,'HT-Transport (M3)'!$D$73:$D$78),IF(I113="Jah",LOOKUP(C113,'HT-Transport (M3)'!$B$73:$B$78,'HT-Transport (M3)'!$E$73:$E$78),"x ")))</f>
        <v>#N/A</v>
      </c>
      <c r="K113" s="547"/>
      <c r="L113" s="289" t="str">
        <f t="shared" si="43"/>
        <v/>
      </c>
      <c r="M113" s="630" t="e">
        <f>IF(I113="Jah", LOOKUP(C113,'HT-Transport (M3)'!$B$51:$B$62,'HT-Transport (M3)'!$G$51:$G$62),IF(I113= "Ei", " "))</f>
        <v>#N/A</v>
      </c>
      <c r="N113" s="631"/>
      <c r="O113" s="632"/>
      <c r="P113" s="549" t="e">
        <f t="shared" si="44"/>
        <v>#N/A</v>
      </c>
      <c r="Q113" s="549" t="e">
        <f t="shared" si="45"/>
        <v>#N/A</v>
      </c>
      <c r="T113" s="618"/>
      <c r="U113" s="923"/>
      <c r="V113" s="924"/>
      <c r="W113" s="546"/>
      <c r="X113" s="546"/>
      <c r="Y113" s="620">
        <f t="shared" si="46"/>
        <v>0</v>
      </c>
      <c r="Z113" s="629"/>
      <c r="AA113" s="572" t="s">
        <v>75</v>
      </c>
      <c r="AB113" s="621" t="e">
        <f>IF(AND(AA113="Jah",Z113="Osalise koormaga, nt 50% "),LOOKUP(U113,'HT-Transport (M3)'!$B$73:$B$78,'HT-Transport (M3)'!$C$73:$C$78),IF(AND(AA113="Jah",Z113="Täiskoorem"),LOOKUP(U113,'HT-Transport (M3)'!$B$73:$B$78,'HT-Transport (M3)'!$D$73:$D$78),IF(AA113="Jah",LOOKUP(U113,'HT-Transport (M3)'!$B$73:$B$78,'HT-Transport (M3)'!$E$73:$E$78),"x ")))</f>
        <v>#N/A</v>
      </c>
      <c r="AC113" s="547"/>
      <c r="AD113" s="289" t="str">
        <f t="shared" si="47"/>
        <v/>
      </c>
      <c r="AE113" s="630" t="e">
        <f>IF(AA113="Jah", LOOKUP(U113,'HT-Transport (M3)'!$B$51:$B$62,'HT-Transport (M3)'!$G$51:$G$62),IF(AA113= "Ei", " "))</f>
        <v>#N/A</v>
      </c>
      <c r="AF113" s="631"/>
      <c r="AG113" s="632"/>
      <c r="AH113" s="549" t="e">
        <f t="shared" si="48"/>
        <v>#N/A</v>
      </c>
      <c r="AI113" s="549" t="e">
        <f t="shared" si="49"/>
        <v>#N/A</v>
      </c>
      <c r="AL113" s="618"/>
      <c r="AM113" s="923"/>
      <c r="AN113" s="924"/>
      <c r="AO113" s="546"/>
      <c r="AP113" s="546"/>
      <c r="AQ113" s="620">
        <f t="shared" si="50"/>
        <v>0</v>
      </c>
      <c r="AR113" s="629"/>
      <c r="AS113" s="572" t="s">
        <v>75</v>
      </c>
      <c r="AT113" s="621" t="e">
        <f>IF(AND(AS113="Jah",AR113="Osalise koormaga, nt 50% "),LOOKUP(AM113,'HT-Transport (M3)'!$B$73:$B$78,'HT-Transport (M3)'!$C$73:$C$78),IF(AND(AS113="Jah",AR113="Täiskoorem"),LOOKUP(AM113,'HT-Transport (M3)'!$B$73:$B$78,'HT-Transport (M3)'!$D$73:$D$78),IF(AS113="Jah",LOOKUP(AM113,'HT-Transport (M3)'!$B$73:$B$78,'HT-Transport (M3)'!$E$73:$E$78),"x ")))</f>
        <v>#N/A</v>
      </c>
      <c r="AU113" s="547"/>
      <c r="AV113" s="289" t="str">
        <f t="shared" si="51"/>
        <v/>
      </c>
      <c r="AW113" s="630" t="e">
        <f>IF(AS113="Jah", LOOKUP(AM113,'HT-Transport (M3)'!$B$51:$B$62,'HT-Transport (M3)'!$G$51:$G$62),IF(AS113= "Ei", " "))</f>
        <v>#N/A</v>
      </c>
      <c r="AX113" s="631"/>
      <c r="AY113" s="632"/>
      <c r="AZ113" s="549" t="e">
        <f t="shared" si="52"/>
        <v>#N/A</v>
      </c>
      <c r="BA113" s="549" t="e">
        <f t="shared" si="53"/>
        <v>#N/A</v>
      </c>
    </row>
    <row r="114" spans="2:53" ht="15" customHeight="1">
      <c r="B114" s="618"/>
      <c r="C114" s="923"/>
      <c r="D114" s="924"/>
      <c r="E114" s="546"/>
      <c r="F114" s="546"/>
      <c r="G114" s="620">
        <f t="shared" si="42"/>
        <v>0</v>
      </c>
      <c r="H114" s="629"/>
      <c r="I114" s="572" t="s">
        <v>75</v>
      </c>
      <c r="J114" s="621" t="e">
        <f>IF(AND(I114="Jah",H114="Osalise koormaga, nt 50% "),LOOKUP(C114,'HT-Transport (M3)'!$B$73:$B$78,'HT-Transport (M3)'!$C$73:$C$78),IF(AND(I114="Jah",H114="Täiskoorem"),LOOKUP(C114,'HT-Transport (M3)'!$B$73:$B$78,'HT-Transport (M3)'!$D$73:$D$78),IF(I114="Jah",LOOKUP(C114,'HT-Transport (M3)'!$B$73:$B$78,'HT-Transport (M3)'!$E$73:$E$78),"x ")))</f>
        <v>#N/A</v>
      </c>
      <c r="K114" s="547"/>
      <c r="L114" s="289" t="str">
        <f t="shared" si="43"/>
        <v/>
      </c>
      <c r="M114" s="630" t="e">
        <f>IF(I114="Jah", LOOKUP(C114,'HT-Transport (M3)'!$B$51:$B$62,'HT-Transport (M3)'!$G$51:$G$62),IF(I114= "Ei", " "))</f>
        <v>#N/A</v>
      </c>
      <c r="N114" s="631"/>
      <c r="O114" s="632"/>
      <c r="P114" s="549" t="e">
        <f t="shared" si="44"/>
        <v>#N/A</v>
      </c>
      <c r="Q114" s="549" t="e">
        <f t="shared" si="45"/>
        <v>#N/A</v>
      </c>
      <c r="T114" s="618"/>
      <c r="U114" s="923"/>
      <c r="V114" s="924"/>
      <c r="W114" s="546"/>
      <c r="X114" s="546"/>
      <c r="Y114" s="620">
        <f t="shared" si="46"/>
        <v>0</v>
      </c>
      <c r="Z114" s="629"/>
      <c r="AA114" s="572" t="s">
        <v>75</v>
      </c>
      <c r="AB114" s="621" t="e">
        <f>IF(AND(AA114="Jah",Z114="Osalise koormaga, nt 50% "),LOOKUP(U114,'HT-Transport (M3)'!$B$73:$B$78,'HT-Transport (M3)'!$C$73:$C$78),IF(AND(AA114="Jah",Z114="Täiskoorem"),LOOKUP(U114,'HT-Transport (M3)'!$B$73:$B$78,'HT-Transport (M3)'!$D$73:$D$78),IF(AA114="Jah",LOOKUP(U114,'HT-Transport (M3)'!$B$73:$B$78,'HT-Transport (M3)'!$E$73:$E$78),"x ")))</f>
        <v>#N/A</v>
      </c>
      <c r="AC114" s="547"/>
      <c r="AD114" s="289" t="str">
        <f t="shared" si="47"/>
        <v/>
      </c>
      <c r="AE114" s="630" t="e">
        <f>IF(AA114="Jah", LOOKUP(U114,'HT-Transport (M3)'!$B$51:$B$62,'HT-Transport (M3)'!$G$51:$G$62),IF(AA114= "Ei", " "))</f>
        <v>#N/A</v>
      </c>
      <c r="AF114" s="631"/>
      <c r="AG114" s="632"/>
      <c r="AH114" s="549" t="e">
        <f t="shared" si="48"/>
        <v>#N/A</v>
      </c>
      <c r="AI114" s="549" t="e">
        <f t="shared" si="49"/>
        <v>#N/A</v>
      </c>
      <c r="AL114" s="618"/>
      <c r="AM114" s="923"/>
      <c r="AN114" s="924"/>
      <c r="AO114" s="546"/>
      <c r="AP114" s="546"/>
      <c r="AQ114" s="620">
        <f t="shared" si="50"/>
        <v>0</v>
      </c>
      <c r="AR114" s="629"/>
      <c r="AS114" s="572" t="s">
        <v>75</v>
      </c>
      <c r="AT114" s="621" t="e">
        <f>IF(AND(AS114="Jah",AR114="Osalise koormaga, nt 50% "),LOOKUP(AM114,'HT-Transport (M3)'!$B$73:$B$78,'HT-Transport (M3)'!$C$73:$C$78),IF(AND(AS114="Jah",AR114="Täiskoorem"),LOOKUP(AM114,'HT-Transport (M3)'!$B$73:$B$78,'HT-Transport (M3)'!$D$73:$D$78),IF(AS114="Jah",LOOKUP(AM114,'HT-Transport (M3)'!$B$73:$B$78,'HT-Transport (M3)'!$E$73:$E$78),"x ")))</f>
        <v>#N/A</v>
      </c>
      <c r="AU114" s="547"/>
      <c r="AV114" s="289" t="str">
        <f t="shared" si="51"/>
        <v/>
      </c>
      <c r="AW114" s="630" t="e">
        <f>IF(AS114="Jah", LOOKUP(AM114,'HT-Transport (M3)'!$B$51:$B$62,'HT-Transport (M3)'!$G$51:$G$62),IF(AS114= "Ei", " "))</f>
        <v>#N/A</v>
      </c>
      <c r="AX114" s="631"/>
      <c r="AY114" s="632"/>
      <c r="AZ114" s="549" t="e">
        <f t="shared" si="52"/>
        <v>#N/A</v>
      </c>
      <c r="BA114" s="549" t="e">
        <f t="shared" si="53"/>
        <v>#N/A</v>
      </c>
    </row>
    <row r="115" spans="2:53" ht="15" customHeight="1">
      <c r="B115" s="618"/>
      <c r="C115" s="923"/>
      <c r="D115" s="924"/>
      <c r="E115" s="550"/>
      <c r="F115" s="550"/>
      <c r="G115" s="620">
        <f t="shared" si="42"/>
        <v>0</v>
      </c>
      <c r="H115" s="633"/>
      <c r="I115" s="576" t="s">
        <v>75</v>
      </c>
      <c r="J115" s="621" t="e">
        <f>IF(AND(I115="Jah",H115="Osalise koormaga, nt 50% "),LOOKUP(C115,'HT-Transport (M3)'!$B$73:$B$78,'HT-Transport (M3)'!$C$73:$C$78),IF(AND(I115="Jah",H115="Täiskoorem"),LOOKUP(C115,'HT-Transport (M3)'!$B$73:$B$78,'HT-Transport (M3)'!$D$73:$D$78),IF(I115="Jah",LOOKUP(C115,'HT-Transport (M3)'!$B$73:$B$78,'HT-Transport (M3)'!$E$73:$E$78),"x ")))</f>
        <v>#N/A</v>
      </c>
      <c r="K115" s="547"/>
      <c r="L115" s="289" t="str">
        <f t="shared" si="43"/>
        <v/>
      </c>
      <c r="M115" s="630" t="e">
        <f>IF(I115="Jah", LOOKUP(C115,'HT-Transport (M3)'!$B$51:$B$62,'HT-Transport (M3)'!$G$51:$G$62),IF(I115= "Ei", " "))</f>
        <v>#N/A</v>
      </c>
      <c r="N115" s="634"/>
      <c r="O115" s="635"/>
      <c r="P115" s="549" t="e">
        <f t="shared" si="44"/>
        <v>#N/A</v>
      </c>
      <c r="Q115" s="549" t="e">
        <f t="shared" si="45"/>
        <v>#N/A</v>
      </c>
      <c r="T115" s="618"/>
      <c r="U115" s="923"/>
      <c r="V115" s="924"/>
      <c r="W115" s="550"/>
      <c r="X115" s="550"/>
      <c r="Y115" s="620">
        <f t="shared" si="46"/>
        <v>0</v>
      </c>
      <c r="Z115" s="633"/>
      <c r="AA115" s="576" t="s">
        <v>75</v>
      </c>
      <c r="AB115" s="621" t="e">
        <f>IF(AND(AA115="Jah",Z115="Osalise koormaga, nt 50% "),LOOKUP(U115,'HT-Transport (M3)'!$B$73:$B$78,'HT-Transport (M3)'!$C$73:$C$78),IF(AND(AA115="Jah",Z115="Täiskoorem"),LOOKUP(U115,'HT-Transport (M3)'!$B$73:$B$78,'HT-Transport (M3)'!$D$73:$D$78),IF(AA115="Jah",LOOKUP(U115,'HT-Transport (M3)'!$B$73:$B$78,'HT-Transport (M3)'!$E$73:$E$78),"x ")))</f>
        <v>#N/A</v>
      </c>
      <c r="AC115" s="547"/>
      <c r="AD115" s="289" t="str">
        <f t="shared" si="47"/>
        <v/>
      </c>
      <c r="AE115" s="630" t="e">
        <f>IF(AA115="Jah", LOOKUP(U115,'HT-Transport (M3)'!$B$51:$B$62,'HT-Transport (M3)'!$G$51:$G$62),IF(AA115= "Ei", " "))</f>
        <v>#N/A</v>
      </c>
      <c r="AF115" s="634"/>
      <c r="AG115" s="635"/>
      <c r="AH115" s="549" t="e">
        <f t="shared" si="48"/>
        <v>#N/A</v>
      </c>
      <c r="AI115" s="549" t="e">
        <f t="shared" si="49"/>
        <v>#N/A</v>
      </c>
      <c r="AL115" s="618"/>
      <c r="AM115" s="923"/>
      <c r="AN115" s="924"/>
      <c r="AO115" s="550"/>
      <c r="AP115" s="550"/>
      <c r="AQ115" s="620">
        <f t="shared" si="50"/>
        <v>0</v>
      </c>
      <c r="AR115" s="633"/>
      <c r="AS115" s="576" t="s">
        <v>75</v>
      </c>
      <c r="AT115" s="621" t="e">
        <f>IF(AND(AS115="Jah",AR115="Osalise koormaga, nt 50% "),LOOKUP(AM115,'HT-Transport (M3)'!$B$73:$B$78,'HT-Transport (M3)'!$C$73:$C$78),IF(AND(AS115="Jah",AR115="Täiskoorem"),LOOKUP(AM115,'HT-Transport (M3)'!$B$73:$B$78,'HT-Transport (M3)'!$D$73:$D$78),IF(AS115="Jah",LOOKUP(AM115,'HT-Transport (M3)'!$B$73:$B$78,'HT-Transport (M3)'!$E$73:$E$78),"x ")))</f>
        <v>#N/A</v>
      </c>
      <c r="AU115" s="547"/>
      <c r="AV115" s="289" t="str">
        <f t="shared" si="51"/>
        <v/>
      </c>
      <c r="AW115" s="630" t="e">
        <f>IF(AS115="Jah", LOOKUP(AM115,'HT-Transport (M3)'!$B$51:$B$62,'HT-Transport (M3)'!$G$51:$G$62),IF(AS115= "Ei", " "))</f>
        <v>#N/A</v>
      </c>
      <c r="AX115" s="634"/>
      <c r="AY115" s="635"/>
      <c r="AZ115" s="549" t="e">
        <f t="shared" si="52"/>
        <v>#N/A</v>
      </c>
      <c r="BA115" s="549" t="e">
        <f t="shared" si="53"/>
        <v>#N/A</v>
      </c>
    </row>
    <row r="116" spans="2:53" ht="15" customHeight="1">
      <c r="B116" s="536"/>
      <c r="C116" s="537"/>
      <c r="D116" s="537"/>
      <c r="E116" s="537"/>
      <c r="F116" s="537"/>
      <c r="G116" s="537"/>
      <c r="H116" s="537"/>
      <c r="I116" s="537"/>
      <c r="J116" s="537"/>
      <c r="K116" s="537"/>
      <c r="L116" s="537"/>
      <c r="M116" s="537"/>
      <c r="N116" s="538"/>
      <c r="O116" s="592" t="s">
        <v>1592</v>
      </c>
      <c r="P116" s="627">
        <f>SUMIF(P106:P115,"&lt;&gt;#N/A")</f>
        <v>35925.858906856061</v>
      </c>
      <c r="Q116" s="593">
        <f>SUMIF(Q106:Q115,"&lt;&gt;#N/A")</f>
        <v>35.925858906856064</v>
      </c>
      <c r="T116" s="536"/>
      <c r="U116" s="537"/>
      <c r="V116" s="537"/>
      <c r="W116" s="537"/>
      <c r="X116" s="537"/>
      <c r="Y116" s="537"/>
      <c r="Z116" s="537"/>
      <c r="AA116" s="537"/>
      <c r="AB116" s="537"/>
      <c r="AC116" s="537"/>
      <c r="AD116" s="537"/>
      <c r="AE116" s="537"/>
      <c r="AF116" s="538"/>
      <c r="AG116" s="592" t="s">
        <v>1592</v>
      </c>
      <c r="AH116" s="627">
        <f>SUMIF(AH106:AH115,"&lt;&gt;#N/A")</f>
        <v>0</v>
      </c>
      <c r="AI116" s="593">
        <f>SUMIF(AI106:AI115,"&lt;&gt;#N/A")</f>
        <v>0</v>
      </c>
      <c r="AL116" s="536"/>
      <c r="AM116" s="537"/>
      <c r="AN116" s="537"/>
      <c r="AO116" s="537"/>
      <c r="AP116" s="537"/>
      <c r="AQ116" s="537"/>
      <c r="AR116" s="537"/>
      <c r="AS116" s="537"/>
      <c r="AT116" s="537"/>
      <c r="AU116" s="537"/>
      <c r="AV116" s="537"/>
      <c r="AW116" s="537"/>
      <c r="AX116" s="538"/>
      <c r="AY116" s="592" t="s">
        <v>1592</v>
      </c>
      <c r="AZ116" s="627">
        <f>SUMIF(AZ106:AZ115,"&lt;&gt;#N/A")</f>
        <v>0</v>
      </c>
      <c r="BA116" s="593">
        <f>SUMIF(BA106:BA115,"&lt;&gt;#N/A")</f>
        <v>0</v>
      </c>
    </row>
    <row r="117" spans="2:53" s="302" customFormat="1" ht="15" customHeight="1">
      <c r="B117" s="297"/>
      <c r="C117" s="297"/>
      <c r="D117" s="297"/>
      <c r="E117" s="297"/>
      <c r="F117" s="297"/>
      <c r="G117" s="297"/>
      <c r="H117" s="297"/>
      <c r="I117" s="297"/>
      <c r="J117" s="297"/>
      <c r="K117" s="297"/>
      <c r="L117" s="297"/>
      <c r="M117" s="297"/>
      <c r="N117" s="297"/>
      <c r="O117" s="297"/>
      <c r="P117" s="297"/>
      <c r="T117" s="297"/>
      <c r="U117" s="297"/>
      <c r="V117" s="297"/>
      <c r="W117" s="297"/>
      <c r="X117" s="297"/>
      <c r="Y117" s="297"/>
      <c r="Z117" s="297"/>
      <c r="AA117" s="297"/>
      <c r="AB117" s="297"/>
      <c r="AC117" s="297"/>
      <c r="AD117" s="297"/>
      <c r="AE117" s="297"/>
      <c r="AF117" s="297"/>
      <c r="AG117" s="297"/>
      <c r="AH117" s="297"/>
      <c r="AK117" s="297"/>
      <c r="AL117" s="297"/>
      <c r="AM117" s="297"/>
      <c r="AN117" s="297"/>
      <c r="AO117" s="297"/>
      <c r="AP117" s="297"/>
      <c r="AQ117" s="297"/>
      <c r="AR117" s="297"/>
      <c r="AS117" s="297"/>
      <c r="AT117" s="297"/>
      <c r="AU117" s="297"/>
      <c r="AV117" s="297"/>
      <c r="AW117" s="297"/>
      <c r="AX117" s="297"/>
      <c r="AY117" s="297"/>
      <c r="AZ117" s="297"/>
    </row>
    <row r="118" spans="2:53" s="302" customFormat="1" ht="15" customHeight="1">
      <c r="B118" s="297"/>
      <c r="C118" s="297"/>
      <c r="D118" s="297"/>
      <c r="E118" s="297"/>
      <c r="F118" s="297"/>
      <c r="G118" s="297"/>
      <c r="H118" s="297"/>
      <c r="I118" s="297"/>
      <c r="J118" s="297"/>
      <c r="K118" s="297"/>
      <c r="L118" s="297"/>
      <c r="M118" s="297"/>
      <c r="N118" s="297"/>
      <c r="O118" s="297"/>
      <c r="P118" s="297"/>
      <c r="T118" s="297"/>
      <c r="U118" s="297"/>
      <c r="V118" s="297"/>
      <c r="W118" s="297"/>
      <c r="X118" s="297"/>
      <c r="Y118" s="297"/>
      <c r="Z118" s="297"/>
      <c r="AA118" s="297"/>
      <c r="AB118" s="297"/>
      <c r="AC118" s="297"/>
      <c r="AD118" s="297"/>
      <c r="AE118" s="297"/>
      <c r="AF118" s="297"/>
      <c r="AG118" s="297"/>
      <c r="AH118" s="297"/>
      <c r="AK118" s="297"/>
      <c r="AL118" s="297"/>
      <c r="AM118" s="297"/>
      <c r="AN118" s="297"/>
      <c r="AO118" s="297"/>
      <c r="AP118" s="297"/>
      <c r="AQ118" s="297"/>
      <c r="AR118" s="297"/>
      <c r="AS118" s="297"/>
      <c r="AT118" s="297"/>
      <c r="AU118" s="297"/>
      <c r="AV118" s="297"/>
      <c r="AW118" s="297"/>
      <c r="AX118" s="297"/>
      <c r="AY118" s="297"/>
      <c r="AZ118" s="297"/>
    </row>
    <row r="119" spans="2:53">
      <c r="B119" s="308" t="s">
        <v>1770</v>
      </c>
      <c r="C119" s="543"/>
      <c r="D119" s="608"/>
      <c r="E119" s="608"/>
      <c r="F119" s="568"/>
      <c r="G119" s="568"/>
      <c r="H119" s="568"/>
      <c r="I119" s="586"/>
      <c r="J119" s="640"/>
      <c r="K119" s="640"/>
      <c r="L119" s="569"/>
      <c r="M119" s="570"/>
      <c r="T119" s="308" t="s">
        <v>1770</v>
      </c>
      <c r="U119" s="543"/>
      <c r="V119" s="608"/>
      <c r="W119" s="608"/>
      <c r="X119" s="568"/>
      <c r="Y119" s="568"/>
      <c r="Z119" s="568"/>
      <c r="AA119" s="586"/>
      <c r="AB119" s="640"/>
      <c r="AC119" s="640"/>
      <c r="AD119" s="569"/>
      <c r="AE119" s="570"/>
      <c r="AL119" s="308" t="s">
        <v>1770</v>
      </c>
      <c r="AM119" s="543"/>
      <c r="AN119" s="608"/>
      <c r="AO119" s="608"/>
      <c r="AP119" s="568"/>
      <c r="AQ119" s="568"/>
      <c r="AR119" s="568"/>
      <c r="AS119" s="586"/>
      <c r="AT119" s="640"/>
      <c r="AU119" s="640"/>
      <c r="AV119" s="569"/>
      <c r="AW119" s="570"/>
    </row>
    <row r="120" spans="2:53" ht="15" customHeight="1">
      <c r="B120" s="925" t="s">
        <v>57</v>
      </c>
      <c r="C120" s="908" t="s">
        <v>1502</v>
      </c>
      <c r="D120" s="909"/>
      <c r="E120" s="925" t="s">
        <v>111</v>
      </c>
      <c r="F120" s="914" t="s">
        <v>68</v>
      </c>
      <c r="G120" s="914" t="s">
        <v>69</v>
      </c>
      <c r="H120" s="914" t="s">
        <v>70</v>
      </c>
      <c r="I120" s="908" t="s">
        <v>71</v>
      </c>
      <c r="J120" s="941"/>
      <c r="K120" s="909"/>
      <c r="L120" s="916" t="s">
        <v>86</v>
      </c>
      <c r="M120" s="917"/>
      <c r="T120" s="925" t="s">
        <v>57</v>
      </c>
      <c r="U120" s="908" t="s">
        <v>1502</v>
      </c>
      <c r="V120" s="909"/>
      <c r="W120" s="925" t="s">
        <v>111</v>
      </c>
      <c r="X120" s="914" t="s">
        <v>68</v>
      </c>
      <c r="Y120" s="914" t="s">
        <v>69</v>
      </c>
      <c r="Z120" s="914" t="s">
        <v>70</v>
      </c>
      <c r="AA120" s="908" t="s">
        <v>71</v>
      </c>
      <c r="AB120" s="941"/>
      <c r="AC120" s="909"/>
      <c r="AD120" s="916" t="s">
        <v>86</v>
      </c>
      <c r="AE120" s="917"/>
      <c r="AL120" s="925" t="s">
        <v>57</v>
      </c>
      <c r="AM120" s="908" t="s">
        <v>1502</v>
      </c>
      <c r="AN120" s="909"/>
      <c r="AO120" s="925" t="s">
        <v>111</v>
      </c>
      <c r="AP120" s="914" t="s">
        <v>68</v>
      </c>
      <c r="AQ120" s="914" t="s">
        <v>69</v>
      </c>
      <c r="AR120" s="914" t="s">
        <v>70</v>
      </c>
      <c r="AS120" s="908" t="s">
        <v>71</v>
      </c>
      <c r="AT120" s="941"/>
      <c r="AU120" s="909"/>
      <c r="AV120" s="916" t="s">
        <v>86</v>
      </c>
      <c r="AW120" s="917"/>
    </row>
    <row r="121" spans="2:53" ht="15" customHeight="1">
      <c r="B121" s="926"/>
      <c r="C121" s="928"/>
      <c r="D121" s="929"/>
      <c r="E121" s="926"/>
      <c r="F121" s="915"/>
      <c r="G121" s="915"/>
      <c r="H121" s="915"/>
      <c r="I121" s="928"/>
      <c r="J121" s="942"/>
      <c r="K121" s="929"/>
      <c r="L121" s="918"/>
      <c r="M121" s="919"/>
      <c r="T121" s="926"/>
      <c r="U121" s="928"/>
      <c r="V121" s="929"/>
      <c r="W121" s="926"/>
      <c r="X121" s="915"/>
      <c r="Y121" s="915"/>
      <c r="Z121" s="915"/>
      <c r="AA121" s="928"/>
      <c r="AB121" s="942"/>
      <c r="AC121" s="929"/>
      <c r="AD121" s="918"/>
      <c r="AE121" s="919"/>
      <c r="AL121" s="926"/>
      <c r="AM121" s="928"/>
      <c r="AN121" s="929"/>
      <c r="AO121" s="926"/>
      <c r="AP121" s="915"/>
      <c r="AQ121" s="915"/>
      <c r="AR121" s="915"/>
      <c r="AS121" s="928"/>
      <c r="AT121" s="942"/>
      <c r="AU121" s="929"/>
      <c r="AV121" s="918"/>
      <c r="AW121" s="919"/>
    </row>
    <row r="122" spans="2:53" ht="15" customHeight="1">
      <c r="B122" s="926"/>
      <c r="C122" s="928"/>
      <c r="D122" s="929"/>
      <c r="E122" s="926"/>
      <c r="F122" s="922"/>
      <c r="G122" s="922"/>
      <c r="H122" s="922"/>
      <c r="I122" s="928"/>
      <c r="J122" s="942"/>
      <c r="K122" s="929"/>
      <c r="L122" s="920"/>
      <c r="M122" s="921"/>
      <c r="T122" s="926"/>
      <c r="U122" s="928"/>
      <c r="V122" s="929"/>
      <c r="W122" s="926"/>
      <c r="X122" s="922"/>
      <c r="Y122" s="922"/>
      <c r="Z122" s="922"/>
      <c r="AA122" s="928"/>
      <c r="AB122" s="942"/>
      <c r="AC122" s="929"/>
      <c r="AD122" s="920"/>
      <c r="AE122" s="921"/>
      <c r="AL122" s="926"/>
      <c r="AM122" s="928"/>
      <c r="AN122" s="929"/>
      <c r="AO122" s="926"/>
      <c r="AP122" s="922"/>
      <c r="AQ122" s="922"/>
      <c r="AR122" s="922"/>
      <c r="AS122" s="928"/>
      <c r="AT122" s="942"/>
      <c r="AU122" s="929"/>
      <c r="AV122" s="920"/>
      <c r="AW122" s="921"/>
    </row>
    <row r="123" spans="2:53" ht="15" customHeight="1">
      <c r="B123" s="927"/>
      <c r="C123" s="910"/>
      <c r="D123" s="911"/>
      <c r="E123" s="927"/>
      <c r="F123" s="571" t="s">
        <v>73</v>
      </c>
      <c r="G123" s="947" t="s">
        <v>2098</v>
      </c>
      <c r="H123" s="948"/>
      <c r="I123" s="910"/>
      <c r="J123" s="943"/>
      <c r="K123" s="911"/>
      <c r="L123" s="609" t="s">
        <v>2085</v>
      </c>
      <c r="M123" s="609" t="s">
        <v>2086</v>
      </c>
      <c r="T123" s="927"/>
      <c r="U123" s="910"/>
      <c r="V123" s="911"/>
      <c r="W123" s="927"/>
      <c r="X123" s="571" t="s">
        <v>73</v>
      </c>
      <c r="Y123" s="947" t="s">
        <v>2098</v>
      </c>
      <c r="Z123" s="948"/>
      <c r="AA123" s="910"/>
      <c r="AB123" s="943"/>
      <c r="AC123" s="911"/>
      <c r="AD123" s="609" t="s">
        <v>2085</v>
      </c>
      <c r="AE123" s="609" t="s">
        <v>2086</v>
      </c>
      <c r="AL123" s="927"/>
      <c r="AM123" s="910"/>
      <c r="AN123" s="911"/>
      <c r="AO123" s="927"/>
      <c r="AP123" s="571" t="s">
        <v>73</v>
      </c>
      <c r="AQ123" s="947" t="s">
        <v>2098</v>
      </c>
      <c r="AR123" s="948"/>
      <c r="AS123" s="910"/>
      <c r="AT123" s="943"/>
      <c r="AU123" s="911"/>
      <c r="AV123" s="609" t="s">
        <v>2085</v>
      </c>
      <c r="AW123" s="609" t="s">
        <v>2086</v>
      </c>
    </row>
    <row r="124" spans="2:53" ht="15" customHeight="1">
      <c r="B124" s="590">
        <v>1</v>
      </c>
      <c r="C124" s="923" t="s">
        <v>1772</v>
      </c>
      <c r="D124" s="924"/>
      <c r="E124" s="588">
        <v>1000</v>
      </c>
      <c r="F124" s="572" t="s">
        <v>75</v>
      </c>
      <c r="G124" s="610">
        <f>IF(F124="Jah",LOOKUP(C124,'HT-Transport (M3)'!$B$82:$B$83,'HT-Transport (M3)'!$C$82:$C$83),IF(F124="Ei","x "))</f>
        <v>0.66140608054688732</v>
      </c>
      <c r="H124" s="348"/>
      <c r="I124" s="574" t="str">
        <f>IF(F124="Jah", LOOKUP(C124,'HT-Transport (M3)'!$B$82:$B$83,'HT-Transport (M3)'!$E$82:$E$83),IF(F124= "Ei", " "))</f>
        <v>Bussiteenuse pakkujad (keskmine kütusekulu l/km, maakondlik liin), KHG inventuuri aruanne 2022 (diiselbussi eriheitetegur)</v>
      </c>
      <c r="J124" s="641"/>
      <c r="K124" s="642"/>
      <c r="L124" s="549">
        <f t="shared" ref="L124:L133" si="54">IF(F124="Jah",E124*(G124), IF(F124="Ei",E124*H124))</f>
        <v>661.40608054688732</v>
      </c>
      <c r="M124" s="549">
        <f>L124*0.001</f>
        <v>0.66140608054688732</v>
      </c>
      <c r="T124" s="590"/>
      <c r="U124" s="923"/>
      <c r="V124" s="924"/>
      <c r="W124" s="588"/>
      <c r="X124" s="572" t="s">
        <v>75</v>
      </c>
      <c r="Y124" s="610" t="e">
        <f>IF(X124="Jah",LOOKUP(U124,'HT-Transport (M3)'!$B$82:$B$83,'HT-Transport (M3)'!$C$82:$C$83),IF(X124="Ei","x "))</f>
        <v>#N/A</v>
      </c>
      <c r="Z124" s="348"/>
      <c r="AA124" s="574" t="e">
        <f>IF(X124="Jah", LOOKUP(U124,'HT-Transport (M3)'!$B$82:$B$83,'HT-Transport (M3)'!$E$82:$E$83),IF(X124= "Ei", " "))</f>
        <v>#N/A</v>
      </c>
      <c r="AB124" s="641"/>
      <c r="AC124" s="642"/>
      <c r="AD124" s="549" t="e">
        <f t="shared" ref="AD124:AD133" si="55">IF(X124="Jah",W124*(Y124), IF(X124="Ei",W124*Z124))</f>
        <v>#N/A</v>
      </c>
      <c r="AE124" s="549" t="e">
        <f>AD124*0.001</f>
        <v>#N/A</v>
      </c>
      <c r="AL124" s="590"/>
      <c r="AM124" s="923"/>
      <c r="AN124" s="924"/>
      <c r="AO124" s="588"/>
      <c r="AP124" s="572" t="s">
        <v>75</v>
      </c>
      <c r="AQ124" s="610" t="e">
        <f>IF(AP124="Jah",LOOKUP(AM124,'HT-Transport (M3)'!$B$82:$B$83,'HT-Transport (M3)'!$C$82:$C$83),IF(AP124="Ei","x "))</f>
        <v>#N/A</v>
      </c>
      <c r="AR124" s="348"/>
      <c r="AS124" s="574" t="e">
        <f>IF(AP124="Jah", LOOKUP(AM124,'HT-Transport (M3)'!$B$82:$B$83,'HT-Transport (M3)'!$E$82:$E$83),IF(AP124= "Ei", " "))</f>
        <v>#N/A</v>
      </c>
      <c r="AT124" s="641"/>
      <c r="AU124" s="642"/>
      <c r="AV124" s="549" t="e">
        <f t="shared" ref="AV124:AV133" si="56">IF(AP124="Jah",AO124*(AQ124), IF(AP124="Ei",AO124*AR124))</f>
        <v>#N/A</v>
      </c>
      <c r="AW124" s="549" t="e">
        <f>AV124*0.001</f>
        <v>#N/A</v>
      </c>
    </row>
    <row r="125" spans="2:53" ht="15" customHeight="1">
      <c r="B125" s="590">
        <v>2</v>
      </c>
      <c r="C125" s="923" t="s">
        <v>1771</v>
      </c>
      <c r="D125" s="924"/>
      <c r="E125" s="588">
        <v>1000</v>
      </c>
      <c r="F125" s="572" t="s">
        <v>78</v>
      </c>
      <c r="G125" s="610" t="str">
        <f>IF(F125="Jah",LOOKUP(C125,'HT-Transport (M3)'!$B$82:$B$83,'HT-Transport (M3)'!$C$82:$C$83),IF(F125="Ei","x "))</f>
        <v xml:space="preserve">x </v>
      </c>
      <c r="H125" s="348">
        <v>0.2</v>
      </c>
      <c r="I125" s="574" t="str">
        <f>IF(F125="Jah", LOOKUP(C125,'HT-Transport (M3)'!$B$82:$B$83,'HT-Transport (M3)'!$E$82:$E$83),IF(F125= "Ei", " "))</f>
        <v xml:space="preserve"> </v>
      </c>
      <c r="J125" s="641"/>
      <c r="K125" s="642"/>
      <c r="L125" s="549">
        <f t="shared" si="54"/>
        <v>200</v>
      </c>
      <c r="M125" s="549">
        <f t="shared" ref="M125:M133" si="57">L125*0.001</f>
        <v>0.2</v>
      </c>
      <c r="T125" s="590"/>
      <c r="U125" s="923"/>
      <c r="V125" s="924"/>
      <c r="W125" s="588"/>
      <c r="X125" s="572" t="s">
        <v>75</v>
      </c>
      <c r="Y125" s="610" t="e">
        <f>IF(X125="Jah",LOOKUP(U125,'HT-Transport (M3)'!$B$82:$B$83,'HT-Transport (M3)'!$C$82:$C$83),IF(X125="Ei","x "))</f>
        <v>#N/A</v>
      </c>
      <c r="Z125" s="348"/>
      <c r="AA125" s="574" t="e">
        <f>IF(X125="Jah", LOOKUP(U125,'HT-Transport (M3)'!$B$82:$B$83,'HT-Transport (M3)'!$E$82:$E$83),IF(X125= "Ei", " "))</f>
        <v>#N/A</v>
      </c>
      <c r="AB125" s="641"/>
      <c r="AC125" s="642"/>
      <c r="AD125" s="549" t="e">
        <f t="shared" si="55"/>
        <v>#N/A</v>
      </c>
      <c r="AE125" s="549" t="e">
        <f t="shared" ref="AE125:AE133" si="58">AD125*0.001</f>
        <v>#N/A</v>
      </c>
      <c r="AL125" s="590"/>
      <c r="AM125" s="923"/>
      <c r="AN125" s="924"/>
      <c r="AO125" s="588"/>
      <c r="AP125" s="572" t="s">
        <v>75</v>
      </c>
      <c r="AQ125" s="610" t="e">
        <f>IF(AP125="Jah",LOOKUP(AM125,'HT-Transport (M3)'!$B$82:$B$83,'HT-Transport (M3)'!$C$82:$C$83),IF(AP125="Ei","x "))</f>
        <v>#N/A</v>
      </c>
      <c r="AR125" s="348"/>
      <c r="AS125" s="574" t="e">
        <f>IF(AP125="Jah", LOOKUP(AM125,'HT-Transport (M3)'!$B$82:$B$83,'HT-Transport (M3)'!$E$82:$E$83),IF(AP125= "Ei", " "))</f>
        <v>#N/A</v>
      </c>
      <c r="AT125" s="641"/>
      <c r="AU125" s="642"/>
      <c r="AV125" s="549" t="e">
        <f t="shared" si="56"/>
        <v>#N/A</v>
      </c>
      <c r="AW125" s="549" t="e">
        <f t="shared" ref="AW125:AW133" si="59">AV125*0.001</f>
        <v>#N/A</v>
      </c>
    </row>
    <row r="126" spans="2:53" ht="15" customHeight="1">
      <c r="B126" s="590"/>
      <c r="C126" s="923"/>
      <c r="D126" s="924"/>
      <c r="E126" s="588"/>
      <c r="F126" s="572" t="s">
        <v>75</v>
      </c>
      <c r="G126" s="610" t="e">
        <f>IF(F126="Jah",LOOKUP(C126,'HT-Transport (M3)'!$B$82:$B$83,'HT-Transport (M3)'!$C$82:$C$83),IF(F126="Ei","x "))</f>
        <v>#N/A</v>
      </c>
      <c r="H126" s="348"/>
      <c r="I126" s="574" t="e">
        <f>IF(F126="Jah", LOOKUP(C126,'HT-Transport (M3)'!$B$82:$B$83,'HT-Transport (M3)'!$E$82:$E$83),IF(F126= "Ei", " "))</f>
        <v>#N/A</v>
      </c>
      <c r="J126" s="641"/>
      <c r="K126" s="642"/>
      <c r="L126" s="549" t="e">
        <f t="shared" si="54"/>
        <v>#N/A</v>
      </c>
      <c r="M126" s="549" t="e">
        <f t="shared" si="57"/>
        <v>#N/A</v>
      </c>
      <c r="T126" s="590"/>
      <c r="U126" s="923"/>
      <c r="V126" s="924"/>
      <c r="W126" s="588"/>
      <c r="X126" s="572" t="s">
        <v>75</v>
      </c>
      <c r="Y126" s="610" t="e">
        <f>IF(X126="Jah",LOOKUP(U126,'HT-Transport (M3)'!$B$82:$B$83,'HT-Transport (M3)'!$C$82:$C$83),IF(X126="Ei","x "))</f>
        <v>#N/A</v>
      </c>
      <c r="Z126" s="348"/>
      <c r="AA126" s="574" t="e">
        <f>IF(X126="Jah", LOOKUP(U126,'HT-Transport (M3)'!$B$82:$B$83,'HT-Transport (M3)'!$E$82:$E$83),IF(X126= "Ei", " "))</f>
        <v>#N/A</v>
      </c>
      <c r="AB126" s="641"/>
      <c r="AC126" s="642"/>
      <c r="AD126" s="549" t="e">
        <f t="shared" si="55"/>
        <v>#N/A</v>
      </c>
      <c r="AE126" s="549" t="e">
        <f t="shared" si="58"/>
        <v>#N/A</v>
      </c>
      <c r="AL126" s="590"/>
      <c r="AM126" s="923"/>
      <c r="AN126" s="924"/>
      <c r="AO126" s="588"/>
      <c r="AP126" s="572" t="s">
        <v>75</v>
      </c>
      <c r="AQ126" s="610" t="e">
        <f>IF(AP126="Jah",LOOKUP(AM126,'HT-Transport (M3)'!$B$82:$B$83,'HT-Transport (M3)'!$C$82:$C$83),IF(AP126="Ei","x "))</f>
        <v>#N/A</v>
      </c>
      <c r="AR126" s="348"/>
      <c r="AS126" s="574" t="e">
        <f>IF(AP126="Jah", LOOKUP(AM126,'HT-Transport (M3)'!$B$82:$B$83,'HT-Transport (M3)'!$E$82:$E$83),IF(AP126= "Ei", " "))</f>
        <v>#N/A</v>
      </c>
      <c r="AT126" s="641"/>
      <c r="AU126" s="642"/>
      <c r="AV126" s="549" t="e">
        <f t="shared" si="56"/>
        <v>#N/A</v>
      </c>
      <c r="AW126" s="549" t="e">
        <f t="shared" si="59"/>
        <v>#N/A</v>
      </c>
    </row>
    <row r="127" spans="2:53" ht="15" customHeight="1">
      <c r="B127" s="590"/>
      <c r="C127" s="923"/>
      <c r="D127" s="924"/>
      <c r="E127" s="588"/>
      <c r="F127" s="572" t="s">
        <v>75</v>
      </c>
      <c r="G127" s="610" t="e">
        <f>IF(F127="Jah",LOOKUP(C127,'HT-Transport (M3)'!$B$82:$B$83,'HT-Transport (M3)'!$C$82:$C$83),IF(F127="Ei","x "))</f>
        <v>#N/A</v>
      </c>
      <c r="H127" s="348"/>
      <c r="I127" s="574" t="e">
        <f>IF(F127="Jah", LOOKUP(C127,'HT-Transport (M3)'!$B$82:$B$83,'HT-Transport (M3)'!$E$82:$E$83),IF(F127= "Ei", " "))</f>
        <v>#N/A</v>
      </c>
      <c r="J127" s="641"/>
      <c r="K127" s="642"/>
      <c r="L127" s="549" t="e">
        <f t="shared" si="54"/>
        <v>#N/A</v>
      </c>
      <c r="M127" s="549" t="e">
        <f t="shared" si="57"/>
        <v>#N/A</v>
      </c>
      <c r="T127" s="590"/>
      <c r="U127" s="923"/>
      <c r="V127" s="924"/>
      <c r="W127" s="588"/>
      <c r="X127" s="572" t="s">
        <v>75</v>
      </c>
      <c r="Y127" s="610" t="e">
        <f>IF(X127="Jah",LOOKUP(U127,'HT-Transport (M3)'!$B$82:$B$83,'HT-Transport (M3)'!$C$82:$C$83),IF(X127="Ei","x "))</f>
        <v>#N/A</v>
      </c>
      <c r="Z127" s="348"/>
      <c r="AA127" s="574" t="e">
        <f>IF(X127="Jah", LOOKUP(U127,'HT-Transport (M3)'!$B$82:$B$83,'HT-Transport (M3)'!$E$82:$E$83),IF(X127= "Ei", " "))</f>
        <v>#N/A</v>
      </c>
      <c r="AB127" s="641"/>
      <c r="AC127" s="642"/>
      <c r="AD127" s="549" t="e">
        <f t="shared" si="55"/>
        <v>#N/A</v>
      </c>
      <c r="AE127" s="549" t="e">
        <f t="shared" si="58"/>
        <v>#N/A</v>
      </c>
      <c r="AL127" s="590"/>
      <c r="AM127" s="923"/>
      <c r="AN127" s="924"/>
      <c r="AO127" s="588"/>
      <c r="AP127" s="572" t="s">
        <v>75</v>
      </c>
      <c r="AQ127" s="610" t="e">
        <f>IF(AP127="Jah",LOOKUP(AM127,'HT-Transport (M3)'!$B$82:$B$83,'HT-Transport (M3)'!$C$82:$C$83),IF(AP127="Ei","x "))</f>
        <v>#N/A</v>
      </c>
      <c r="AR127" s="348"/>
      <c r="AS127" s="574" t="e">
        <f>IF(AP127="Jah", LOOKUP(AM127,'HT-Transport (M3)'!$B$82:$B$83,'HT-Transport (M3)'!$E$82:$E$83),IF(AP127= "Ei", " "))</f>
        <v>#N/A</v>
      </c>
      <c r="AT127" s="641"/>
      <c r="AU127" s="642"/>
      <c r="AV127" s="549" t="e">
        <f t="shared" si="56"/>
        <v>#N/A</v>
      </c>
      <c r="AW127" s="549" t="e">
        <f t="shared" si="59"/>
        <v>#N/A</v>
      </c>
    </row>
    <row r="128" spans="2:53" ht="15" customHeight="1">
      <c r="B128" s="590"/>
      <c r="C128" s="923"/>
      <c r="D128" s="924"/>
      <c r="E128" s="588"/>
      <c r="F128" s="572" t="s">
        <v>75</v>
      </c>
      <c r="G128" s="610" t="e">
        <f>IF(F128="Jah",LOOKUP(C128,'HT-Transport (M3)'!$B$82:$B$83,'HT-Transport (M3)'!$C$82:$C$83),IF(F128="Ei","x "))</f>
        <v>#N/A</v>
      </c>
      <c r="H128" s="348"/>
      <c r="I128" s="574" t="e">
        <f>IF(F128="Jah", LOOKUP(C128,'HT-Transport (M3)'!$B$82:$B$83,'HT-Transport (M3)'!$E$82:$E$83),IF(F128= "Ei", " "))</f>
        <v>#N/A</v>
      </c>
      <c r="J128" s="641"/>
      <c r="K128" s="642"/>
      <c r="L128" s="549" t="e">
        <f t="shared" si="54"/>
        <v>#N/A</v>
      </c>
      <c r="M128" s="549" t="e">
        <f t="shared" si="57"/>
        <v>#N/A</v>
      </c>
      <c r="T128" s="590"/>
      <c r="U128" s="923"/>
      <c r="V128" s="924"/>
      <c r="W128" s="588"/>
      <c r="X128" s="572" t="s">
        <v>75</v>
      </c>
      <c r="Y128" s="610" t="e">
        <f>IF(X128="Jah",LOOKUP(U128,'HT-Transport (M3)'!$B$82:$B$83,'HT-Transport (M3)'!$C$82:$C$83),IF(X128="Ei","x "))</f>
        <v>#N/A</v>
      </c>
      <c r="Z128" s="348"/>
      <c r="AA128" s="574" t="e">
        <f>IF(X128="Jah", LOOKUP(U128,'HT-Transport (M3)'!$B$82:$B$83,'HT-Transport (M3)'!$E$82:$E$83),IF(X128= "Ei", " "))</f>
        <v>#N/A</v>
      </c>
      <c r="AB128" s="641"/>
      <c r="AC128" s="642"/>
      <c r="AD128" s="549" t="e">
        <f t="shared" si="55"/>
        <v>#N/A</v>
      </c>
      <c r="AE128" s="549" t="e">
        <f t="shared" si="58"/>
        <v>#N/A</v>
      </c>
      <c r="AL128" s="590"/>
      <c r="AM128" s="923"/>
      <c r="AN128" s="924"/>
      <c r="AO128" s="588"/>
      <c r="AP128" s="572" t="s">
        <v>75</v>
      </c>
      <c r="AQ128" s="610" t="e">
        <f>IF(AP128="Jah",LOOKUP(AM128,'HT-Transport (M3)'!$B$82:$B$83,'HT-Transport (M3)'!$C$82:$C$83),IF(AP128="Ei","x "))</f>
        <v>#N/A</v>
      </c>
      <c r="AR128" s="348"/>
      <c r="AS128" s="574" t="e">
        <f>IF(AP128="Jah", LOOKUP(AM128,'HT-Transport (M3)'!$B$82:$B$83,'HT-Transport (M3)'!$E$82:$E$83),IF(AP128= "Ei", " "))</f>
        <v>#N/A</v>
      </c>
      <c r="AT128" s="641"/>
      <c r="AU128" s="642"/>
      <c r="AV128" s="549" t="e">
        <f t="shared" si="56"/>
        <v>#N/A</v>
      </c>
      <c r="AW128" s="549" t="e">
        <f t="shared" si="59"/>
        <v>#N/A</v>
      </c>
    </row>
    <row r="129" spans="1:53" ht="15" customHeight="1">
      <c r="A129" s="297"/>
      <c r="B129" s="590"/>
      <c r="C129" s="923"/>
      <c r="D129" s="924"/>
      <c r="E129" s="588"/>
      <c r="F129" s="572" t="s">
        <v>75</v>
      </c>
      <c r="G129" s="610" t="e">
        <f>IF(F129="Jah",LOOKUP(C129,'HT-Transport (M3)'!$B$82:$B$83,'HT-Transport (M3)'!$C$82:$C$83),IF(F129="Ei","x "))</f>
        <v>#N/A</v>
      </c>
      <c r="H129" s="348"/>
      <c r="I129" s="574" t="e">
        <f>IF(F129="Jah", LOOKUP(C129,'HT-Transport (M3)'!$B$82:$B$83,'HT-Transport (M3)'!$E$82:$E$83),IF(F129= "Ei", " "))</f>
        <v>#N/A</v>
      </c>
      <c r="J129" s="641"/>
      <c r="K129" s="642"/>
      <c r="L129" s="549" t="e">
        <f t="shared" si="54"/>
        <v>#N/A</v>
      </c>
      <c r="M129" s="549" t="e">
        <f t="shared" si="57"/>
        <v>#N/A</v>
      </c>
      <c r="T129" s="590"/>
      <c r="U129" s="923"/>
      <c r="V129" s="924"/>
      <c r="W129" s="588"/>
      <c r="X129" s="572" t="s">
        <v>75</v>
      </c>
      <c r="Y129" s="610" t="e">
        <f>IF(X129="Jah",LOOKUP(U129,'HT-Transport (M3)'!$B$82:$B$83,'HT-Transport (M3)'!$C$82:$C$83),IF(X129="Ei","x "))</f>
        <v>#N/A</v>
      </c>
      <c r="Z129" s="348"/>
      <c r="AA129" s="574" t="e">
        <f>IF(X129="Jah", LOOKUP(U129,'HT-Transport (M3)'!$B$82:$B$83,'HT-Transport (M3)'!$E$82:$E$83),IF(X129= "Ei", " "))</f>
        <v>#N/A</v>
      </c>
      <c r="AB129" s="641"/>
      <c r="AC129" s="642"/>
      <c r="AD129" s="549" t="e">
        <f t="shared" si="55"/>
        <v>#N/A</v>
      </c>
      <c r="AE129" s="549" t="e">
        <f t="shared" si="58"/>
        <v>#N/A</v>
      </c>
      <c r="AL129" s="590"/>
      <c r="AM129" s="923"/>
      <c r="AN129" s="924"/>
      <c r="AO129" s="588"/>
      <c r="AP129" s="572" t="s">
        <v>75</v>
      </c>
      <c r="AQ129" s="610" t="e">
        <f>IF(AP129="Jah",LOOKUP(AM129,'HT-Transport (M3)'!$B$82:$B$83,'HT-Transport (M3)'!$C$82:$C$83),IF(AP129="Ei","x "))</f>
        <v>#N/A</v>
      </c>
      <c r="AR129" s="348"/>
      <c r="AS129" s="574" t="e">
        <f>IF(AP129="Jah", LOOKUP(AM129,'HT-Transport (M3)'!$B$82:$B$83,'HT-Transport (M3)'!$E$82:$E$83),IF(AP129= "Ei", " "))</f>
        <v>#N/A</v>
      </c>
      <c r="AT129" s="641"/>
      <c r="AU129" s="642"/>
      <c r="AV129" s="549" t="e">
        <f t="shared" si="56"/>
        <v>#N/A</v>
      </c>
      <c r="AW129" s="549" t="e">
        <f t="shared" si="59"/>
        <v>#N/A</v>
      </c>
    </row>
    <row r="130" spans="1:53" ht="15" customHeight="1">
      <c r="A130" s="297"/>
      <c r="B130" s="590"/>
      <c r="C130" s="923"/>
      <c r="D130" s="924"/>
      <c r="E130" s="588"/>
      <c r="F130" s="572" t="s">
        <v>75</v>
      </c>
      <c r="G130" s="610" t="e">
        <f>IF(F130="Jah",LOOKUP(C130,'HT-Transport (M3)'!$B$82:$B$83,'HT-Transport (M3)'!$C$82:$C$83),IF(F130="Ei","x "))</f>
        <v>#N/A</v>
      </c>
      <c r="H130" s="348"/>
      <c r="I130" s="574" t="e">
        <f>IF(F130="Jah", LOOKUP(C130,'HT-Transport (M3)'!$B$82:$B$83,'HT-Transport (M3)'!$E$82:$E$83),IF(F130= "Ei", " "))</f>
        <v>#N/A</v>
      </c>
      <c r="J130" s="641"/>
      <c r="K130" s="642"/>
      <c r="L130" s="549" t="e">
        <f t="shared" si="54"/>
        <v>#N/A</v>
      </c>
      <c r="M130" s="549" t="e">
        <f t="shared" si="57"/>
        <v>#N/A</v>
      </c>
      <c r="T130" s="590"/>
      <c r="U130" s="923"/>
      <c r="V130" s="924"/>
      <c r="W130" s="588"/>
      <c r="X130" s="572" t="s">
        <v>75</v>
      </c>
      <c r="Y130" s="610" t="e">
        <f>IF(X130="Jah",LOOKUP(U130,'HT-Transport (M3)'!$B$82:$B$83,'HT-Transport (M3)'!$C$82:$C$83),IF(X130="Ei","x "))</f>
        <v>#N/A</v>
      </c>
      <c r="Z130" s="348"/>
      <c r="AA130" s="574" t="e">
        <f>IF(X130="Jah", LOOKUP(U130,'HT-Transport (M3)'!$B$82:$B$83,'HT-Transport (M3)'!$E$82:$E$83),IF(X130= "Ei", " "))</f>
        <v>#N/A</v>
      </c>
      <c r="AB130" s="641"/>
      <c r="AC130" s="642"/>
      <c r="AD130" s="549" t="e">
        <f t="shared" si="55"/>
        <v>#N/A</v>
      </c>
      <c r="AE130" s="549" t="e">
        <f t="shared" si="58"/>
        <v>#N/A</v>
      </c>
      <c r="AL130" s="590"/>
      <c r="AM130" s="923"/>
      <c r="AN130" s="924"/>
      <c r="AO130" s="588"/>
      <c r="AP130" s="572" t="s">
        <v>75</v>
      </c>
      <c r="AQ130" s="610" t="e">
        <f>IF(AP130="Jah",LOOKUP(AM130,'HT-Transport (M3)'!$B$82:$B$83,'HT-Transport (M3)'!$C$82:$C$83),IF(AP130="Ei","x "))</f>
        <v>#N/A</v>
      </c>
      <c r="AR130" s="348"/>
      <c r="AS130" s="574" t="e">
        <f>IF(AP130="Jah", LOOKUP(AM130,'HT-Transport (M3)'!$B$82:$B$83,'HT-Transport (M3)'!$E$82:$E$83),IF(AP130= "Ei", " "))</f>
        <v>#N/A</v>
      </c>
      <c r="AT130" s="641"/>
      <c r="AU130" s="642"/>
      <c r="AV130" s="549" t="e">
        <f t="shared" si="56"/>
        <v>#N/A</v>
      </c>
      <c r="AW130" s="549" t="e">
        <f t="shared" si="59"/>
        <v>#N/A</v>
      </c>
    </row>
    <row r="131" spans="1:53" ht="15" customHeight="1">
      <c r="A131" s="297"/>
      <c r="B131" s="590"/>
      <c r="C131" s="923"/>
      <c r="D131" s="924"/>
      <c r="E131" s="588"/>
      <c r="F131" s="572" t="s">
        <v>75</v>
      </c>
      <c r="G131" s="610" t="e">
        <f>IF(F131="Jah",LOOKUP(C131,'HT-Transport (M3)'!$B$82:$B$83,'HT-Transport (M3)'!$C$82:$C$83),IF(F131="Ei","x "))</f>
        <v>#N/A</v>
      </c>
      <c r="H131" s="348"/>
      <c r="I131" s="574" t="e">
        <f>IF(F131="Jah", LOOKUP(C131,'HT-Transport (M3)'!$B$82:$B$83,'HT-Transport (M3)'!$E$82:$E$83),IF(F131= "Ei", " "))</f>
        <v>#N/A</v>
      </c>
      <c r="J131" s="641"/>
      <c r="K131" s="642"/>
      <c r="L131" s="549" t="e">
        <f t="shared" si="54"/>
        <v>#N/A</v>
      </c>
      <c r="M131" s="549" t="e">
        <f t="shared" si="57"/>
        <v>#N/A</v>
      </c>
      <c r="T131" s="590"/>
      <c r="U131" s="923"/>
      <c r="V131" s="924"/>
      <c r="W131" s="588"/>
      <c r="X131" s="572" t="s">
        <v>75</v>
      </c>
      <c r="Y131" s="610" t="e">
        <f>IF(X131="Jah",LOOKUP(U131,'HT-Transport (M3)'!$B$82:$B$83,'HT-Transport (M3)'!$C$82:$C$83),IF(X131="Ei","x "))</f>
        <v>#N/A</v>
      </c>
      <c r="Z131" s="348"/>
      <c r="AA131" s="574" t="e">
        <f>IF(X131="Jah", LOOKUP(U131,'HT-Transport (M3)'!$B$82:$B$83,'HT-Transport (M3)'!$E$82:$E$83),IF(X131= "Ei", " "))</f>
        <v>#N/A</v>
      </c>
      <c r="AB131" s="641"/>
      <c r="AC131" s="642"/>
      <c r="AD131" s="549" t="e">
        <f t="shared" si="55"/>
        <v>#N/A</v>
      </c>
      <c r="AE131" s="549" t="e">
        <f t="shared" si="58"/>
        <v>#N/A</v>
      </c>
      <c r="AL131" s="590"/>
      <c r="AM131" s="923"/>
      <c r="AN131" s="924"/>
      <c r="AO131" s="588"/>
      <c r="AP131" s="572" t="s">
        <v>75</v>
      </c>
      <c r="AQ131" s="610" t="e">
        <f>IF(AP131="Jah",LOOKUP(AM131,'HT-Transport (M3)'!$B$82:$B$83,'HT-Transport (M3)'!$C$82:$C$83),IF(AP131="Ei","x "))</f>
        <v>#N/A</v>
      </c>
      <c r="AR131" s="348"/>
      <c r="AS131" s="574" t="e">
        <f>IF(AP131="Jah", LOOKUP(AM131,'HT-Transport (M3)'!$B$82:$B$83,'HT-Transport (M3)'!$E$82:$E$83),IF(AP131= "Ei", " "))</f>
        <v>#N/A</v>
      </c>
      <c r="AT131" s="641"/>
      <c r="AU131" s="642"/>
      <c r="AV131" s="549" t="e">
        <f t="shared" si="56"/>
        <v>#N/A</v>
      </c>
      <c r="AW131" s="549" t="e">
        <f t="shared" si="59"/>
        <v>#N/A</v>
      </c>
    </row>
    <row r="132" spans="1:53" ht="15" customHeight="1">
      <c r="B132" s="590"/>
      <c r="C132" s="923"/>
      <c r="D132" s="924"/>
      <c r="E132" s="588"/>
      <c r="F132" s="572" t="s">
        <v>75</v>
      </c>
      <c r="G132" s="610" t="e">
        <f>IF(F132="Jah",LOOKUP(C132,'HT-Transport (M3)'!$B$82:$B$83,'HT-Transport (M3)'!$C$82:$C$83),IF(F132="Ei","x "))</f>
        <v>#N/A</v>
      </c>
      <c r="H132" s="348"/>
      <c r="I132" s="574" t="e">
        <f>IF(F132="Jah", LOOKUP(C132,'HT-Transport (M3)'!$B$82:$B$83,'HT-Transport (M3)'!$E$82:$E$83),IF(F132= "Ei", " "))</f>
        <v>#N/A</v>
      </c>
      <c r="J132" s="641"/>
      <c r="K132" s="642"/>
      <c r="L132" s="549" t="e">
        <f t="shared" si="54"/>
        <v>#N/A</v>
      </c>
      <c r="M132" s="549" t="e">
        <f t="shared" si="57"/>
        <v>#N/A</v>
      </c>
      <c r="T132" s="590"/>
      <c r="U132" s="923"/>
      <c r="V132" s="924"/>
      <c r="W132" s="588"/>
      <c r="X132" s="572" t="s">
        <v>75</v>
      </c>
      <c r="Y132" s="610" t="e">
        <f>IF(X132="Jah",LOOKUP(U132,'HT-Transport (M3)'!$B$82:$B$83,'HT-Transport (M3)'!$C$82:$C$83),IF(X132="Ei","x "))</f>
        <v>#N/A</v>
      </c>
      <c r="Z132" s="348"/>
      <c r="AA132" s="574" t="e">
        <f>IF(X132="Jah", LOOKUP(U132,'HT-Transport (M3)'!$B$82:$B$83,'HT-Transport (M3)'!$E$82:$E$83),IF(X132= "Ei", " "))</f>
        <v>#N/A</v>
      </c>
      <c r="AB132" s="641"/>
      <c r="AC132" s="642"/>
      <c r="AD132" s="549" t="e">
        <f t="shared" si="55"/>
        <v>#N/A</v>
      </c>
      <c r="AE132" s="549" t="e">
        <f t="shared" si="58"/>
        <v>#N/A</v>
      </c>
      <c r="AL132" s="590"/>
      <c r="AM132" s="923"/>
      <c r="AN132" s="924"/>
      <c r="AO132" s="588"/>
      <c r="AP132" s="572" t="s">
        <v>75</v>
      </c>
      <c r="AQ132" s="610" t="e">
        <f>IF(AP132="Jah",LOOKUP(AM132,'HT-Transport (M3)'!$B$82:$B$83,'HT-Transport (M3)'!$C$82:$C$83),IF(AP132="Ei","x "))</f>
        <v>#N/A</v>
      </c>
      <c r="AR132" s="348"/>
      <c r="AS132" s="574" t="e">
        <f>IF(AP132="Jah", LOOKUP(AM132,'HT-Transport (M3)'!$B$82:$B$83,'HT-Transport (M3)'!$E$82:$E$83),IF(AP132= "Ei", " "))</f>
        <v>#N/A</v>
      </c>
      <c r="AT132" s="641"/>
      <c r="AU132" s="642"/>
      <c r="AV132" s="549" t="e">
        <f t="shared" si="56"/>
        <v>#N/A</v>
      </c>
      <c r="AW132" s="549" t="e">
        <f t="shared" si="59"/>
        <v>#N/A</v>
      </c>
    </row>
    <row r="133" spans="1:53" ht="15" customHeight="1">
      <c r="B133" s="590"/>
      <c r="C133" s="923"/>
      <c r="D133" s="924"/>
      <c r="E133" s="588"/>
      <c r="F133" s="572" t="s">
        <v>75</v>
      </c>
      <c r="G133" s="610" t="e">
        <f>IF(F133="Jah",LOOKUP(C133,'HT-Transport (M3)'!$B$82:$B$83,'HT-Transport (M3)'!$C$82:$C$83),IF(F133="Ei","x "))</f>
        <v>#N/A</v>
      </c>
      <c r="H133" s="348"/>
      <c r="I133" s="574" t="e">
        <f>IF(F133="Jah", LOOKUP(C133,'HT-Transport (M3)'!$B$82:$B$83,'HT-Transport (M3)'!$E$82:$E$83),IF(F133= "Ei", " "))</f>
        <v>#N/A</v>
      </c>
      <c r="J133" s="641"/>
      <c r="K133" s="642"/>
      <c r="L133" s="549" t="e">
        <f t="shared" si="54"/>
        <v>#N/A</v>
      </c>
      <c r="M133" s="549" t="e">
        <f t="shared" si="57"/>
        <v>#N/A</v>
      </c>
      <c r="T133" s="590"/>
      <c r="U133" s="923"/>
      <c r="V133" s="924"/>
      <c r="W133" s="588"/>
      <c r="X133" s="572" t="s">
        <v>75</v>
      </c>
      <c r="Y133" s="610" t="e">
        <f>IF(X133="Jah",LOOKUP(U133,'HT-Transport (M3)'!$B$82:$B$83,'HT-Transport (M3)'!$C$82:$C$83),IF(X133="Ei","x "))</f>
        <v>#N/A</v>
      </c>
      <c r="Z133" s="348"/>
      <c r="AA133" s="574" t="e">
        <f>IF(X133="Jah", LOOKUP(U133,'HT-Transport (M3)'!$B$82:$B$83,'HT-Transport (M3)'!$E$82:$E$83),IF(X133= "Ei", " "))</f>
        <v>#N/A</v>
      </c>
      <c r="AB133" s="641"/>
      <c r="AC133" s="642"/>
      <c r="AD133" s="549" t="e">
        <f t="shared" si="55"/>
        <v>#N/A</v>
      </c>
      <c r="AE133" s="549" t="e">
        <f t="shared" si="58"/>
        <v>#N/A</v>
      </c>
      <c r="AL133" s="590"/>
      <c r="AM133" s="923"/>
      <c r="AN133" s="924"/>
      <c r="AO133" s="588"/>
      <c r="AP133" s="572" t="s">
        <v>75</v>
      </c>
      <c r="AQ133" s="610" t="e">
        <f>IF(AP133="Jah",LOOKUP(AM133,'HT-Transport (M3)'!$B$82:$B$83,'HT-Transport (M3)'!$C$82:$C$83),IF(AP133="Ei","x "))</f>
        <v>#N/A</v>
      </c>
      <c r="AR133" s="348"/>
      <c r="AS133" s="574" t="e">
        <f>IF(AP133="Jah", LOOKUP(AM133,'HT-Transport (M3)'!$B$82:$B$83,'HT-Transport (M3)'!$E$82:$E$83),IF(AP133= "Ei", " "))</f>
        <v>#N/A</v>
      </c>
      <c r="AT133" s="641"/>
      <c r="AU133" s="642"/>
      <c r="AV133" s="549" t="e">
        <f t="shared" si="56"/>
        <v>#N/A</v>
      </c>
      <c r="AW133" s="549" t="e">
        <f t="shared" si="59"/>
        <v>#N/A</v>
      </c>
    </row>
    <row r="134" spans="1:53">
      <c r="B134" s="536"/>
      <c r="C134" s="537"/>
      <c r="D134" s="537"/>
      <c r="E134" s="591"/>
      <c r="F134" s="591"/>
      <c r="G134" s="591"/>
      <c r="H134" s="591"/>
      <c r="I134" s="643"/>
      <c r="J134" s="643"/>
      <c r="K134" s="644" t="s">
        <v>1592</v>
      </c>
      <c r="L134" s="593">
        <f>SUMIF(L124:L133,"&lt;&gt;#N/A")</f>
        <v>861.40608054688732</v>
      </c>
      <c r="M134" s="594">
        <f>SUMIF(M124:M133,"&lt;&gt;#N/A")</f>
        <v>0.86140608054688728</v>
      </c>
      <c r="T134" s="536"/>
      <c r="U134" s="537"/>
      <c r="V134" s="537"/>
      <c r="W134" s="591"/>
      <c r="X134" s="591"/>
      <c r="Y134" s="591"/>
      <c r="Z134" s="591"/>
      <c r="AA134" s="643"/>
      <c r="AB134" s="643"/>
      <c r="AC134" s="644" t="s">
        <v>1592</v>
      </c>
      <c r="AD134" s="593">
        <f>SUMIF(AD124:AD133,"&lt;&gt;#N/A")</f>
        <v>0</v>
      </c>
      <c r="AE134" s="594">
        <f>SUMIF(AE124:AE133,"&lt;&gt;#N/A")</f>
        <v>0</v>
      </c>
      <c r="AL134" s="536"/>
      <c r="AM134" s="537"/>
      <c r="AN134" s="537"/>
      <c r="AO134" s="591"/>
      <c r="AP134" s="591"/>
      <c r="AQ134" s="591"/>
      <c r="AR134" s="591"/>
      <c r="AS134" s="643"/>
      <c r="AT134" s="643"/>
      <c r="AU134" s="644" t="s">
        <v>1592</v>
      </c>
      <c r="AV134" s="593">
        <f>SUMIF(AV124:AV133,"&lt;&gt;#N/A")</f>
        <v>0</v>
      </c>
      <c r="AW134" s="594">
        <f>SUMIF(AW124:AW133,"&lt;&gt;#N/A")</f>
        <v>0</v>
      </c>
    </row>
    <row r="135" spans="1:53" s="302" customFormat="1" ht="15" customHeight="1">
      <c r="B135" s="297"/>
      <c r="C135" s="297"/>
      <c r="D135" s="297"/>
      <c r="E135" s="297"/>
      <c r="F135" s="297"/>
      <c r="G135" s="297"/>
      <c r="H135" s="297"/>
      <c r="I135" s="297"/>
      <c r="J135" s="297"/>
      <c r="K135" s="297"/>
      <c r="L135" s="297"/>
      <c r="M135" s="297"/>
      <c r="N135" s="297"/>
      <c r="O135" s="297"/>
      <c r="P135" s="297"/>
      <c r="T135" s="297"/>
      <c r="U135" s="297"/>
      <c r="V135" s="297"/>
      <c r="W135" s="297"/>
      <c r="X135" s="297"/>
      <c r="Y135" s="297"/>
      <c r="Z135" s="297"/>
      <c r="AA135" s="297"/>
      <c r="AB135" s="297"/>
      <c r="AC135" s="297"/>
      <c r="AD135" s="297"/>
      <c r="AE135" s="297"/>
      <c r="AF135" s="297"/>
      <c r="AG135" s="297"/>
      <c r="AH135" s="297"/>
      <c r="AK135" s="297"/>
      <c r="AL135" s="297"/>
      <c r="AM135" s="297"/>
      <c r="AN135" s="297"/>
      <c r="AO135" s="297"/>
      <c r="AP135" s="297"/>
      <c r="AQ135" s="297"/>
      <c r="AR135" s="297"/>
      <c r="AS135" s="297"/>
      <c r="AT135" s="297"/>
      <c r="AU135" s="297"/>
      <c r="AV135" s="297"/>
      <c r="AW135" s="297"/>
      <c r="AX135" s="297"/>
      <c r="AY135" s="297"/>
      <c r="AZ135" s="297"/>
    </row>
    <row r="136" spans="1:53" ht="15" customHeight="1">
      <c r="F136" s="297"/>
      <c r="H136" s="297"/>
    </row>
    <row r="137" spans="1:53" ht="15" customHeight="1">
      <c r="B137" s="320" t="s">
        <v>1622</v>
      </c>
      <c r="C137" s="503"/>
      <c r="D137" s="607"/>
      <c r="E137" s="607"/>
      <c r="F137" s="607"/>
      <c r="G137" s="607"/>
      <c r="H137" s="607"/>
      <c r="I137" s="607"/>
      <c r="J137" s="607"/>
      <c r="K137" s="607"/>
      <c r="L137" s="607"/>
      <c r="M137" s="607"/>
      <c r="T137" s="320" t="s">
        <v>1622</v>
      </c>
      <c r="U137" s="503"/>
      <c r="V137" s="607"/>
      <c r="W137" s="607"/>
      <c r="X137" s="607"/>
      <c r="Y137" s="607"/>
      <c r="Z137" s="607"/>
      <c r="AA137" s="607"/>
      <c r="AB137" s="607"/>
      <c r="AC137" s="607"/>
      <c r="AD137" s="607"/>
      <c r="AE137" s="607"/>
      <c r="AL137" s="320" t="s">
        <v>1622</v>
      </c>
      <c r="AM137" s="503"/>
      <c r="AN137" s="607"/>
      <c r="AO137" s="607"/>
      <c r="AP137" s="607"/>
      <c r="AQ137" s="607"/>
      <c r="AR137" s="607"/>
      <c r="AS137" s="607"/>
      <c r="AT137" s="607"/>
      <c r="AU137" s="607"/>
      <c r="AV137" s="607"/>
      <c r="AW137" s="607"/>
    </row>
    <row r="138" spans="1:53" s="302" customFormat="1" ht="15" customHeight="1">
      <c r="B138" s="503" t="s">
        <v>1628</v>
      </c>
      <c r="C138" s="503"/>
      <c r="D138" s="543"/>
      <c r="E138" s="617"/>
      <c r="F138" s="543"/>
      <c r="G138" s="617"/>
      <c r="H138" s="543"/>
      <c r="I138" s="543"/>
      <c r="J138" s="543"/>
      <c r="K138" s="543"/>
      <c r="L138" s="543"/>
      <c r="M138" s="543"/>
      <c r="N138" s="297"/>
      <c r="O138" s="297"/>
      <c r="P138" s="297"/>
      <c r="Q138" s="297"/>
      <c r="T138" s="503" t="s">
        <v>1628</v>
      </c>
      <c r="U138" s="503"/>
      <c r="V138" s="543"/>
      <c r="W138" s="617"/>
      <c r="X138" s="543"/>
      <c r="Y138" s="617"/>
      <c r="Z138" s="543"/>
      <c r="AA138" s="543"/>
      <c r="AB138" s="543"/>
      <c r="AC138" s="543"/>
      <c r="AD138" s="543"/>
      <c r="AE138" s="543"/>
      <c r="AF138" s="297"/>
      <c r="AG138" s="297"/>
      <c r="AH138" s="297"/>
      <c r="AI138" s="297"/>
      <c r="AK138" s="297"/>
      <c r="AL138" s="503" t="s">
        <v>1628</v>
      </c>
      <c r="AM138" s="503"/>
      <c r="AN138" s="543"/>
      <c r="AO138" s="617"/>
      <c r="AP138" s="543"/>
      <c r="AQ138" s="617"/>
      <c r="AR138" s="543"/>
      <c r="AS138" s="543"/>
      <c r="AT138" s="543"/>
      <c r="AU138" s="543"/>
      <c r="AV138" s="543"/>
      <c r="AW138" s="543"/>
      <c r="AX138" s="297"/>
      <c r="AY138" s="297"/>
      <c r="AZ138" s="297"/>
      <c r="BA138" s="297"/>
    </row>
    <row r="139" spans="1:53" ht="15" customHeight="1">
      <c r="A139" s="297"/>
      <c r="B139" s="925" t="s">
        <v>57</v>
      </c>
      <c r="C139" s="928" t="s">
        <v>1429</v>
      </c>
      <c r="D139" s="929"/>
      <c r="E139" s="925" t="s">
        <v>111</v>
      </c>
      <c r="F139" s="914" t="s">
        <v>107</v>
      </c>
      <c r="G139" s="914" t="s">
        <v>68</v>
      </c>
      <c r="H139" s="914" t="s">
        <v>69</v>
      </c>
      <c r="I139" s="914" t="s">
        <v>70</v>
      </c>
      <c r="J139" s="908" t="s">
        <v>71</v>
      </c>
      <c r="K139" s="909"/>
      <c r="L139" s="916" t="s">
        <v>86</v>
      </c>
      <c r="M139" s="917"/>
      <c r="T139" s="925" t="s">
        <v>57</v>
      </c>
      <c r="U139" s="928" t="s">
        <v>1429</v>
      </c>
      <c r="V139" s="929"/>
      <c r="W139" s="914" t="s">
        <v>109</v>
      </c>
      <c r="X139" s="914" t="s">
        <v>107</v>
      </c>
      <c r="Y139" s="914" t="s">
        <v>68</v>
      </c>
      <c r="Z139" s="914" t="s">
        <v>69</v>
      </c>
      <c r="AA139" s="914" t="s">
        <v>70</v>
      </c>
      <c r="AB139" s="908" t="s">
        <v>71</v>
      </c>
      <c r="AC139" s="909"/>
      <c r="AD139" s="916" t="s">
        <v>86</v>
      </c>
      <c r="AE139" s="917"/>
      <c r="AL139" s="925" t="s">
        <v>57</v>
      </c>
      <c r="AM139" s="928" t="s">
        <v>1429</v>
      </c>
      <c r="AN139" s="929"/>
      <c r="AO139" s="914" t="s">
        <v>109</v>
      </c>
      <c r="AP139" s="914" t="s">
        <v>107</v>
      </c>
      <c r="AQ139" s="914" t="s">
        <v>68</v>
      </c>
      <c r="AR139" s="914" t="s">
        <v>69</v>
      </c>
      <c r="AS139" s="914" t="s">
        <v>70</v>
      </c>
      <c r="AT139" s="908" t="s">
        <v>71</v>
      </c>
      <c r="AU139" s="909"/>
      <c r="AV139" s="916" t="s">
        <v>86</v>
      </c>
      <c r="AW139" s="917"/>
    </row>
    <row r="140" spans="1:53" ht="15" customHeight="1">
      <c r="A140" s="297"/>
      <c r="B140" s="926"/>
      <c r="C140" s="928"/>
      <c r="D140" s="929"/>
      <c r="E140" s="926"/>
      <c r="F140" s="915"/>
      <c r="G140" s="915"/>
      <c r="H140" s="915"/>
      <c r="I140" s="915"/>
      <c r="J140" s="928"/>
      <c r="K140" s="929"/>
      <c r="L140" s="918"/>
      <c r="M140" s="919"/>
      <c r="T140" s="926"/>
      <c r="U140" s="928"/>
      <c r="V140" s="929"/>
      <c r="W140" s="915"/>
      <c r="X140" s="915"/>
      <c r="Y140" s="915"/>
      <c r="Z140" s="915"/>
      <c r="AA140" s="915"/>
      <c r="AB140" s="928"/>
      <c r="AC140" s="929"/>
      <c r="AD140" s="918"/>
      <c r="AE140" s="919"/>
      <c r="AL140" s="926"/>
      <c r="AM140" s="928"/>
      <c r="AN140" s="929"/>
      <c r="AO140" s="915"/>
      <c r="AP140" s="915"/>
      <c r="AQ140" s="915"/>
      <c r="AR140" s="915"/>
      <c r="AS140" s="915"/>
      <c r="AT140" s="928"/>
      <c r="AU140" s="929"/>
      <c r="AV140" s="918"/>
      <c r="AW140" s="919"/>
    </row>
    <row r="141" spans="1:53" ht="15" customHeight="1">
      <c r="A141" s="297"/>
      <c r="B141" s="926"/>
      <c r="C141" s="928"/>
      <c r="D141" s="929"/>
      <c r="E141" s="926"/>
      <c r="F141" s="915"/>
      <c r="G141" s="922"/>
      <c r="H141" s="922"/>
      <c r="I141" s="922"/>
      <c r="J141" s="928"/>
      <c r="K141" s="929"/>
      <c r="L141" s="920"/>
      <c r="M141" s="921"/>
      <c r="T141" s="926"/>
      <c r="U141" s="928"/>
      <c r="V141" s="929"/>
      <c r="W141" s="915"/>
      <c r="X141" s="915"/>
      <c r="Y141" s="922"/>
      <c r="Z141" s="922"/>
      <c r="AA141" s="922"/>
      <c r="AB141" s="928"/>
      <c r="AC141" s="929"/>
      <c r="AD141" s="920"/>
      <c r="AE141" s="921"/>
      <c r="AL141" s="926"/>
      <c r="AM141" s="928"/>
      <c r="AN141" s="929"/>
      <c r="AO141" s="915"/>
      <c r="AP141" s="915"/>
      <c r="AQ141" s="922"/>
      <c r="AR141" s="922"/>
      <c r="AS141" s="922"/>
      <c r="AT141" s="928"/>
      <c r="AU141" s="929"/>
      <c r="AV141" s="920"/>
      <c r="AW141" s="921"/>
    </row>
    <row r="142" spans="1:53" s="365" customFormat="1" ht="15" customHeight="1">
      <c r="A142" s="297"/>
      <c r="B142" s="927"/>
      <c r="C142" s="910"/>
      <c r="D142" s="911"/>
      <c r="E142" s="927"/>
      <c r="F142" s="922"/>
      <c r="G142" s="571" t="s">
        <v>73</v>
      </c>
      <c r="H142" s="947" t="s">
        <v>2110</v>
      </c>
      <c r="I142" s="948"/>
      <c r="J142" s="910"/>
      <c r="K142" s="911"/>
      <c r="L142" s="545" t="s">
        <v>2085</v>
      </c>
      <c r="M142" s="545" t="s">
        <v>2086</v>
      </c>
      <c r="N142" s="297"/>
      <c r="O142" s="297"/>
      <c r="P142" s="297"/>
      <c r="T142" s="927"/>
      <c r="U142" s="910"/>
      <c r="V142" s="911"/>
      <c r="W142" s="922"/>
      <c r="X142" s="922"/>
      <c r="Y142" s="571" t="s">
        <v>73</v>
      </c>
      <c r="Z142" s="947" t="s">
        <v>2110</v>
      </c>
      <c r="AA142" s="948"/>
      <c r="AB142" s="910"/>
      <c r="AC142" s="911"/>
      <c r="AD142" s="545" t="s">
        <v>2085</v>
      </c>
      <c r="AE142" s="545" t="s">
        <v>2086</v>
      </c>
      <c r="AF142" s="297"/>
      <c r="AG142" s="297"/>
      <c r="AH142" s="297"/>
      <c r="AK142" s="297"/>
      <c r="AL142" s="927"/>
      <c r="AM142" s="910"/>
      <c r="AN142" s="911"/>
      <c r="AO142" s="922"/>
      <c r="AP142" s="922"/>
      <c r="AQ142" s="571" t="s">
        <v>73</v>
      </c>
      <c r="AR142" s="947" t="s">
        <v>2110</v>
      </c>
      <c r="AS142" s="948"/>
      <c r="AT142" s="910"/>
      <c r="AU142" s="911"/>
      <c r="AV142" s="545" t="s">
        <v>2085</v>
      </c>
      <c r="AW142" s="545" t="s">
        <v>2086</v>
      </c>
      <c r="AX142" s="297"/>
      <c r="AY142" s="297"/>
      <c r="AZ142" s="297"/>
    </row>
    <row r="143" spans="1:53" ht="15" customHeight="1">
      <c r="A143" s="297"/>
      <c r="B143" s="618">
        <v>1</v>
      </c>
      <c r="C143" s="923" t="s">
        <v>1551</v>
      </c>
      <c r="D143" s="924"/>
      <c r="E143" s="619">
        <v>1000</v>
      </c>
      <c r="F143" s="619">
        <v>1000</v>
      </c>
      <c r="G143" s="572" t="s">
        <v>75</v>
      </c>
      <c r="H143" s="645">
        <f>IF(G143="Jah",LOOKUP(C143,'HT-Transport (M3)'!$B$87:$B$88,'HT-Transport (M3)'!$C$87:$C$88),IF(G143="Ei","x "))</f>
        <v>2.3386453066467649E-2</v>
      </c>
      <c r="I143" s="361"/>
      <c r="J143" s="939" t="str">
        <f>IF(G143="Jah", LOOKUP(C143,'HT-Transport (M3)'!$B$87:$B$88,'HT-Transport (M3)'!$E$87:$E$88),IF(G143= "Ei", " "))</f>
        <v>Kütusekulu arvutatud LIPASTO eelduste põhjal, KHG inventuuri aruanne 2022 (rongidiisli eriheitetegur)</v>
      </c>
      <c r="K143" s="940"/>
      <c r="L143" s="549">
        <f>IF(G143="Jah",E143*F143*H143, IF(G143="Ei",E143*F143*I143))</f>
        <v>23386.453066467649</v>
      </c>
      <c r="M143" s="549">
        <f>L143*0.001</f>
        <v>23.386453066467649</v>
      </c>
      <c r="T143" s="618"/>
      <c r="U143" s="923"/>
      <c r="V143" s="924"/>
      <c r="W143" s="619"/>
      <c r="X143" s="619"/>
      <c r="Y143" s="572" t="s">
        <v>75</v>
      </c>
      <c r="Z143" s="645" t="e">
        <f>IF(Y143="Jah",LOOKUP(U143,'HT-Transport (M3)'!$B$87:$B$88,'HT-Transport (M3)'!$C$87:$C$88),IF(Y143="Ei","x "))</f>
        <v>#N/A</v>
      </c>
      <c r="AA143" s="361"/>
      <c r="AB143" s="939" t="e">
        <f>IF(Y143="Jah", LOOKUP(U143,'HT-Transport (M3)'!$B$87:$B$88,'HT-Transport (M3)'!$E$87:$E$88),IF(Y143= "Ei", " "))</f>
        <v>#N/A</v>
      </c>
      <c r="AC143" s="940"/>
      <c r="AD143" s="549" t="e">
        <f>IF(Y143="Jah",W143*X143*Z143, IF(Y143="Ei",W143*X143*AA143))</f>
        <v>#N/A</v>
      </c>
      <c r="AE143" s="549" t="e">
        <f>AD143*0.001</f>
        <v>#N/A</v>
      </c>
      <c r="AL143" s="618"/>
      <c r="AM143" s="923"/>
      <c r="AN143" s="924"/>
      <c r="AO143" s="619"/>
      <c r="AP143" s="619"/>
      <c r="AQ143" s="572" t="s">
        <v>75</v>
      </c>
      <c r="AR143" s="645" t="e">
        <f>IF(AQ143="Jah",LOOKUP(AM143,'HT-Transport (M3)'!$B$87:$B$88,'HT-Transport (M3)'!$C$87:$C$88),IF(AQ143="Ei","x "))</f>
        <v>#N/A</v>
      </c>
      <c r="AS143" s="361"/>
      <c r="AT143" s="939" t="e">
        <f>IF(AQ143="Jah", LOOKUP(AM143,'HT-Transport (M3)'!$B$87:$B$88,'HT-Transport (M3)'!$E$87:$E$88),IF(AQ143= "Ei", " "))</f>
        <v>#N/A</v>
      </c>
      <c r="AU143" s="940"/>
      <c r="AV143" s="549" t="e">
        <f>IF(AQ143="Jah",AO143*AP143*AR143, IF(AQ143="Ei",AO143*AP143*AS143))</f>
        <v>#N/A</v>
      </c>
      <c r="AW143" s="549" t="e">
        <f>AV143*0.001</f>
        <v>#N/A</v>
      </c>
    </row>
    <row r="144" spans="1:53" ht="15" customHeight="1">
      <c r="A144" s="297"/>
      <c r="B144" s="618">
        <v>3</v>
      </c>
      <c r="C144" s="923" t="s">
        <v>1552</v>
      </c>
      <c r="D144" s="924"/>
      <c r="E144" s="619">
        <v>1000</v>
      </c>
      <c r="F144" s="619">
        <v>1000</v>
      </c>
      <c r="G144" s="572" t="s">
        <v>75</v>
      </c>
      <c r="H144" s="645">
        <f>IF(G144="Jah",LOOKUP(C144,'HT-Transport (M3)'!$B$87:$B$88,'HT-Transport (M3)'!$C$87:$C$88),IF(G144="Ei","x "))</f>
        <v>2.7820000000000001E-2</v>
      </c>
      <c r="I144" s="361"/>
      <c r="J144" s="939" t="str">
        <f>IF(G144="Jah", LOOKUP(C144,'HT-Transport (M3)'!$B$87:$B$88,'HT-Transport (M3)'!$E$87:$E$88),IF(G144= "Ei", " "))</f>
        <v>UK GHG Conversion Factors 2021</v>
      </c>
      <c r="K144" s="940"/>
      <c r="L144" s="549">
        <f t="shared" ref="L144:L152" si="60">IF(G144="Jah",E144*F144*H144, IF(G144="Ei",E144*F144*I144))</f>
        <v>27820</v>
      </c>
      <c r="M144" s="549">
        <f t="shared" ref="M144:M152" si="61">L144*0.001</f>
        <v>27.82</v>
      </c>
      <c r="T144" s="618"/>
      <c r="U144" s="923"/>
      <c r="V144" s="924"/>
      <c r="W144" s="619"/>
      <c r="X144" s="619"/>
      <c r="Y144" s="572" t="s">
        <v>75</v>
      </c>
      <c r="Z144" s="645" t="e">
        <f>IF(Y144="Jah",LOOKUP(U144,'HT-Transport (M3)'!$B$87:$B$88,'HT-Transport (M3)'!$C$87:$C$88),IF(Y144="Ei","x "))</f>
        <v>#N/A</v>
      </c>
      <c r="AA144" s="361"/>
      <c r="AB144" s="939" t="e">
        <f>IF(Y144="Jah", LOOKUP(U144,'HT-Transport (M3)'!$B$87:$B$88,'HT-Transport (M3)'!$E$87:$E$88),IF(Y144= "Ei", " "))</f>
        <v>#N/A</v>
      </c>
      <c r="AC144" s="940"/>
      <c r="AD144" s="549" t="e">
        <f t="shared" ref="AD144:AD152" si="62">IF(Y144="Jah",W144*X144*Z144, IF(Y144="Ei",W144*X144*AA144))</f>
        <v>#N/A</v>
      </c>
      <c r="AE144" s="549" t="e">
        <f t="shared" ref="AE144:AE152" si="63">AD144*0.001</f>
        <v>#N/A</v>
      </c>
      <c r="AL144" s="618"/>
      <c r="AM144" s="923"/>
      <c r="AN144" s="924"/>
      <c r="AO144" s="619"/>
      <c r="AP144" s="619"/>
      <c r="AQ144" s="572" t="s">
        <v>75</v>
      </c>
      <c r="AR144" s="645" t="e">
        <f>IF(AQ144="Jah",LOOKUP(AM144,'HT-Transport (M3)'!$B$87:$B$88,'HT-Transport (M3)'!$C$87:$C$88),IF(AQ144="Ei","x "))</f>
        <v>#N/A</v>
      </c>
      <c r="AS144" s="361"/>
      <c r="AT144" s="939" t="e">
        <f>IF(AQ144="Jah", LOOKUP(AM144,'HT-Transport (M3)'!$B$87:$B$88,'HT-Transport (M3)'!$E$87:$E$88),IF(AQ144= "Ei", " "))</f>
        <v>#N/A</v>
      </c>
      <c r="AU144" s="940"/>
      <c r="AV144" s="549" t="e">
        <f t="shared" ref="AV144:AV152" si="64">IF(AQ144="Jah",AO144*AP144*AR144, IF(AQ144="Ei",AO144*AP144*AS144))</f>
        <v>#N/A</v>
      </c>
      <c r="AW144" s="549" t="e">
        <f t="shared" ref="AW144:AW152" si="65">AV144*0.001</f>
        <v>#N/A</v>
      </c>
    </row>
    <row r="145" spans="1:54" ht="15" customHeight="1">
      <c r="B145" s="618"/>
      <c r="C145" s="923"/>
      <c r="D145" s="924"/>
      <c r="E145" s="619"/>
      <c r="F145" s="619"/>
      <c r="G145" s="572" t="s">
        <v>75</v>
      </c>
      <c r="H145" s="645" t="e">
        <f>IF(G145="Jah",LOOKUP(C145,'HT-Transport (M3)'!$B$87:$B$88,'HT-Transport (M3)'!$C$87:$C$88),IF(G145="Ei","x "))</f>
        <v>#N/A</v>
      </c>
      <c r="I145" s="361"/>
      <c r="J145" s="939" t="e">
        <f>IF(G145="Jah", LOOKUP(C145,'HT-Transport (M3)'!$B$87:$B$88,'HT-Transport (M3)'!$E$87:$E$88),IF(G145= "Ei", " "))</f>
        <v>#N/A</v>
      </c>
      <c r="K145" s="940"/>
      <c r="L145" s="549" t="e">
        <f t="shared" si="60"/>
        <v>#N/A</v>
      </c>
      <c r="M145" s="549" t="e">
        <f t="shared" si="61"/>
        <v>#N/A</v>
      </c>
      <c r="T145" s="618"/>
      <c r="U145" s="923"/>
      <c r="V145" s="924"/>
      <c r="W145" s="619"/>
      <c r="X145" s="619"/>
      <c r="Y145" s="572" t="s">
        <v>75</v>
      </c>
      <c r="Z145" s="645" t="e">
        <f>IF(Y145="Jah",LOOKUP(U145,'HT-Transport (M3)'!$B$87:$B$88,'HT-Transport (M3)'!$C$87:$C$88),IF(Y145="Ei","x "))</f>
        <v>#N/A</v>
      </c>
      <c r="AA145" s="361"/>
      <c r="AB145" s="939" t="e">
        <f>IF(Y145="Jah", LOOKUP(U145,'HT-Transport (M3)'!$B$87:$B$88,'HT-Transport (M3)'!$E$87:$E$88),IF(Y145= "Ei", " "))</f>
        <v>#N/A</v>
      </c>
      <c r="AC145" s="940"/>
      <c r="AD145" s="549" t="e">
        <f t="shared" si="62"/>
        <v>#N/A</v>
      </c>
      <c r="AE145" s="549" t="e">
        <f t="shared" si="63"/>
        <v>#N/A</v>
      </c>
      <c r="AL145" s="618"/>
      <c r="AM145" s="923"/>
      <c r="AN145" s="924"/>
      <c r="AO145" s="619"/>
      <c r="AP145" s="619"/>
      <c r="AQ145" s="572" t="s">
        <v>75</v>
      </c>
      <c r="AR145" s="645" t="e">
        <f>IF(AQ145="Jah",LOOKUP(AM145,'HT-Transport (M3)'!$B$87:$B$88,'HT-Transport (M3)'!$C$87:$C$88),IF(AQ145="Ei","x "))</f>
        <v>#N/A</v>
      </c>
      <c r="AS145" s="361"/>
      <c r="AT145" s="939" t="e">
        <f>IF(AQ145="Jah", LOOKUP(AM145,'HT-Transport (M3)'!$B$87:$B$88,'HT-Transport (M3)'!$E$87:$E$88),IF(AQ145= "Ei", " "))</f>
        <v>#N/A</v>
      </c>
      <c r="AU145" s="940"/>
      <c r="AV145" s="549" t="e">
        <f t="shared" si="64"/>
        <v>#N/A</v>
      </c>
      <c r="AW145" s="549" t="e">
        <f t="shared" si="65"/>
        <v>#N/A</v>
      </c>
    </row>
    <row r="146" spans="1:54" ht="15" customHeight="1">
      <c r="B146" s="618"/>
      <c r="C146" s="923"/>
      <c r="D146" s="924"/>
      <c r="E146" s="619"/>
      <c r="F146" s="619"/>
      <c r="G146" s="572" t="s">
        <v>75</v>
      </c>
      <c r="H146" s="645" t="e">
        <f>IF(G146="Jah",LOOKUP(C146,'HT-Transport (M3)'!$B$87:$B$88,'HT-Transport (M3)'!$C$87:$C$88),IF(G146="Ei","x "))</f>
        <v>#N/A</v>
      </c>
      <c r="I146" s="361"/>
      <c r="J146" s="939" t="e">
        <f>IF(G146="Jah", LOOKUP(C146,'HT-Transport (M3)'!$B$87:$B$88,'HT-Transport (M3)'!$E$87:$E$88),IF(G146= "Ei", " "))</f>
        <v>#N/A</v>
      </c>
      <c r="K146" s="940"/>
      <c r="L146" s="549" t="e">
        <f t="shared" si="60"/>
        <v>#N/A</v>
      </c>
      <c r="M146" s="549" t="e">
        <f t="shared" si="61"/>
        <v>#N/A</v>
      </c>
      <c r="T146" s="618"/>
      <c r="U146" s="923"/>
      <c r="V146" s="924"/>
      <c r="W146" s="619"/>
      <c r="X146" s="619"/>
      <c r="Y146" s="572" t="s">
        <v>75</v>
      </c>
      <c r="Z146" s="645" t="e">
        <f>IF(Y146="Jah",LOOKUP(U146,'HT-Transport (M3)'!$B$87:$B$88,'HT-Transport (M3)'!$C$87:$C$88),IF(Y146="Ei","x "))</f>
        <v>#N/A</v>
      </c>
      <c r="AA146" s="361"/>
      <c r="AB146" s="939" t="e">
        <f>IF(Y146="Jah", LOOKUP(U146,'HT-Transport (M3)'!$B$87:$B$88,'HT-Transport (M3)'!$E$87:$E$88),IF(Y146= "Ei", " "))</f>
        <v>#N/A</v>
      </c>
      <c r="AC146" s="940"/>
      <c r="AD146" s="549" t="e">
        <f t="shared" si="62"/>
        <v>#N/A</v>
      </c>
      <c r="AE146" s="549" t="e">
        <f t="shared" si="63"/>
        <v>#N/A</v>
      </c>
      <c r="AL146" s="618"/>
      <c r="AM146" s="923"/>
      <c r="AN146" s="924"/>
      <c r="AO146" s="619"/>
      <c r="AP146" s="619"/>
      <c r="AQ146" s="572" t="s">
        <v>75</v>
      </c>
      <c r="AR146" s="645" t="e">
        <f>IF(AQ146="Jah",LOOKUP(AM146,'HT-Transport (M3)'!$B$87:$B$88,'HT-Transport (M3)'!$C$87:$C$88),IF(AQ146="Ei","x "))</f>
        <v>#N/A</v>
      </c>
      <c r="AS146" s="361"/>
      <c r="AT146" s="939" t="e">
        <f>IF(AQ146="Jah", LOOKUP(AM146,'HT-Transport (M3)'!$B$87:$B$88,'HT-Transport (M3)'!$E$87:$E$88),IF(AQ146= "Ei", " "))</f>
        <v>#N/A</v>
      </c>
      <c r="AU146" s="940"/>
      <c r="AV146" s="549" t="e">
        <f t="shared" si="64"/>
        <v>#N/A</v>
      </c>
      <c r="AW146" s="549" t="e">
        <f t="shared" si="65"/>
        <v>#N/A</v>
      </c>
    </row>
    <row r="147" spans="1:54" ht="15" customHeight="1">
      <c r="B147" s="618"/>
      <c r="C147" s="923"/>
      <c r="D147" s="924"/>
      <c r="E147" s="619"/>
      <c r="F147" s="619"/>
      <c r="G147" s="572" t="s">
        <v>75</v>
      </c>
      <c r="H147" s="645" t="e">
        <f>IF(G147="Jah",LOOKUP(C147,'HT-Transport (M3)'!$B$87:$B$88,'HT-Transport (M3)'!$C$87:$C$88),IF(G147="Ei","x "))</f>
        <v>#N/A</v>
      </c>
      <c r="I147" s="361"/>
      <c r="J147" s="939" t="e">
        <f>IF(G147="Jah", LOOKUP(C147,'HT-Transport (M3)'!$B$87:$B$88,'HT-Transport (M3)'!$E$87:$E$88),IF(G147= "Ei", " "))</f>
        <v>#N/A</v>
      </c>
      <c r="K147" s="940"/>
      <c r="L147" s="549" t="e">
        <f t="shared" si="60"/>
        <v>#N/A</v>
      </c>
      <c r="M147" s="549" t="e">
        <f t="shared" si="61"/>
        <v>#N/A</v>
      </c>
      <c r="T147" s="618"/>
      <c r="U147" s="923"/>
      <c r="V147" s="924"/>
      <c r="W147" s="619"/>
      <c r="X147" s="619"/>
      <c r="Y147" s="572" t="s">
        <v>75</v>
      </c>
      <c r="Z147" s="645" t="e">
        <f>IF(Y147="Jah",LOOKUP(U147,'HT-Transport (M3)'!$B$87:$B$88,'HT-Transport (M3)'!$C$87:$C$88),IF(Y147="Ei","x "))</f>
        <v>#N/A</v>
      </c>
      <c r="AA147" s="361"/>
      <c r="AB147" s="939" t="e">
        <f>IF(Y147="Jah", LOOKUP(U147,'HT-Transport (M3)'!$B$87:$B$88,'HT-Transport (M3)'!$E$87:$E$88),IF(Y147= "Ei", " "))</f>
        <v>#N/A</v>
      </c>
      <c r="AC147" s="940"/>
      <c r="AD147" s="549" t="e">
        <f t="shared" si="62"/>
        <v>#N/A</v>
      </c>
      <c r="AE147" s="549" t="e">
        <f t="shared" si="63"/>
        <v>#N/A</v>
      </c>
      <c r="AL147" s="618"/>
      <c r="AM147" s="923"/>
      <c r="AN147" s="924"/>
      <c r="AO147" s="619"/>
      <c r="AP147" s="619"/>
      <c r="AQ147" s="572" t="s">
        <v>75</v>
      </c>
      <c r="AR147" s="645" t="e">
        <f>IF(AQ147="Jah",LOOKUP(AM147,'HT-Transport (M3)'!$B$87:$B$88,'HT-Transport (M3)'!$C$87:$C$88),IF(AQ147="Ei","x "))</f>
        <v>#N/A</v>
      </c>
      <c r="AS147" s="361"/>
      <c r="AT147" s="939" t="e">
        <f>IF(AQ147="Jah", LOOKUP(AM147,'HT-Transport (M3)'!$B$87:$B$88,'HT-Transport (M3)'!$E$87:$E$88),IF(AQ147= "Ei", " "))</f>
        <v>#N/A</v>
      </c>
      <c r="AU147" s="940"/>
      <c r="AV147" s="549" t="e">
        <f t="shared" si="64"/>
        <v>#N/A</v>
      </c>
      <c r="AW147" s="549" t="e">
        <f t="shared" si="65"/>
        <v>#N/A</v>
      </c>
    </row>
    <row r="148" spans="1:54" ht="15" customHeight="1">
      <c r="B148" s="618"/>
      <c r="C148" s="923"/>
      <c r="D148" s="924"/>
      <c r="E148" s="619"/>
      <c r="F148" s="619"/>
      <c r="G148" s="572" t="s">
        <v>75</v>
      </c>
      <c r="H148" s="645" t="e">
        <f>IF(G148="Jah",LOOKUP(C148,'HT-Transport (M3)'!$B$87:$B$88,'HT-Transport (M3)'!$C$87:$C$88),IF(G148="Ei","x "))</f>
        <v>#N/A</v>
      </c>
      <c r="I148" s="361"/>
      <c r="J148" s="939" t="e">
        <f>IF(G148="Jah", LOOKUP(C148,'HT-Transport (M3)'!$B$87:$B$88,'HT-Transport (M3)'!$E$87:$E$88),IF(G148= "Ei", " "))</f>
        <v>#N/A</v>
      </c>
      <c r="K148" s="940"/>
      <c r="L148" s="549" t="e">
        <f t="shared" si="60"/>
        <v>#N/A</v>
      </c>
      <c r="M148" s="549" t="e">
        <f t="shared" si="61"/>
        <v>#N/A</v>
      </c>
      <c r="T148" s="618"/>
      <c r="U148" s="923"/>
      <c r="V148" s="924"/>
      <c r="W148" s="619"/>
      <c r="X148" s="619"/>
      <c r="Y148" s="572" t="s">
        <v>75</v>
      </c>
      <c r="Z148" s="645" t="e">
        <f>IF(Y148="Jah",LOOKUP(U148,'HT-Transport (M3)'!$B$87:$B$88,'HT-Transport (M3)'!$C$87:$C$88),IF(Y148="Ei","x "))</f>
        <v>#N/A</v>
      </c>
      <c r="AA148" s="361"/>
      <c r="AB148" s="939" t="e">
        <f>IF(Y148="Jah", LOOKUP(U148,'HT-Transport (M3)'!$B$87:$B$88,'HT-Transport (M3)'!$E$87:$E$88),IF(Y148= "Ei", " "))</f>
        <v>#N/A</v>
      </c>
      <c r="AC148" s="940"/>
      <c r="AD148" s="549" t="e">
        <f t="shared" si="62"/>
        <v>#N/A</v>
      </c>
      <c r="AE148" s="549" t="e">
        <f t="shared" si="63"/>
        <v>#N/A</v>
      </c>
      <c r="AL148" s="618"/>
      <c r="AM148" s="923"/>
      <c r="AN148" s="924"/>
      <c r="AO148" s="619"/>
      <c r="AP148" s="619"/>
      <c r="AQ148" s="572" t="s">
        <v>75</v>
      </c>
      <c r="AR148" s="645" t="e">
        <f>IF(AQ148="Jah",LOOKUP(AM148,'HT-Transport (M3)'!$B$87:$B$88,'HT-Transport (M3)'!$C$87:$C$88),IF(AQ148="Ei","x "))</f>
        <v>#N/A</v>
      </c>
      <c r="AS148" s="361"/>
      <c r="AT148" s="939" t="e">
        <f>IF(AQ148="Jah", LOOKUP(AM148,'HT-Transport (M3)'!$B$87:$B$88,'HT-Transport (M3)'!$E$87:$E$88),IF(AQ148= "Ei", " "))</f>
        <v>#N/A</v>
      </c>
      <c r="AU148" s="940"/>
      <c r="AV148" s="549" t="e">
        <f t="shared" si="64"/>
        <v>#N/A</v>
      </c>
      <c r="AW148" s="549" t="e">
        <f t="shared" si="65"/>
        <v>#N/A</v>
      </c>
    </row>
    <row r="149" spans="1:54" ht="15" customHeight="1">
      <c r="B149" s="618"/>
      <c r="C149" s="923"/>
      <c r="D149" s="924"/>
      <c r="E149" s="619"/>
      <c r="F149" s="619"/>
      <c r="G149" s="572" t="s">
        <v>75</v>
      </c>
      <c r="H149" s="645" t="e">
        <f>IF(G149="Jah",LOOKUP(C149,'HT-Transport (M3)'!$B$87:$B$88,'HT-Transport (M3)'!$C$87:$C$88),IF(G149="Ei","x "))</f>
        <v>#N/A</v>
      </c>
      <c r="I149" s="361"/>
      <c r="J149" s="939" t="e">
        <f>IF(G149="Jah", LOOKUP(C149,'HT-Transport (M3)'!$B$87:$B$88,'HT-Transport (M3)'!$E$87:$E$88),IF(G149= "Ei", " "))</f>
        <v>#N/A</v>
      </c>
      <c r="K149" s="940"/>
      <c r="L149" s="549" t="e">
        <f t="shared" si="60"/>
        <v>#N/A</v>
      </c>
      <c r="M149" s="549" t="e">
        <f t="shared" si="61"/>
        <v>#N/A</v>
      </c>
      <c r="T149" s="618"/>
      <c r="U149" s="923"/>
      <c r="V149" s="924"/>
      <c r="W149" s="619"/>
      <c r="X149" s="619"/>
      <c r="Y149" s="572" t="s">
        <v>75</v>
      </c>
      <c r="Z149" s="645" t="e">
        <f>IF(Y149="Jah",LOOKUP(U149,'HT-Transport (M3)'!$B$87:$B$88,'HT-Transport (M3)'!$C$87:$C$88),IF(Y149="Ei","x "))</f>
        <v>#N/A</v>
      </c>
      <c r="AA149" s="361"/>
      <c r="AB149" s="939" t="e">
        <f>IF(Y149="Jah", LOOKUP(U149,'HT-Transport (M3)'!$B$87:$B$88,'HT-Transport (M3)'!$E$87:$E$88),IF(Y149= "Ei", " "))</f>
        <v>#N/A</v>
      </c>
      <c r="AC149" s="940"/>
      <c r="AD149" s="549" t="e">
        <f t="shared" si="62"/>
        <v>#N/A</v>
      </c>
      <c r="AE149" s="549" t="e">
        <f t="shared" si="63"/>
        <v>#N/A</v>
      </c>
      <c r="AL149" s="618"/>
      <c r="AM149" s="923"/>
      <c r="AN149" s="924"/>
      <c r="AO149" s="619"/>
      <c r="AP149" s="619"/>
      <c r="AQ149" s="572" t="s">
        <v>75</v>
      </c>
      <c r="AR149" s="645" t="e">
        <f>IF(AQ149="Jah",LOOKUP(AM149,'HT-Transport (M3)'!$B$87:$B$88,'HT-Transport (M3)'!$C$87:$C$88),IF(AQ149="Ei","x "))</f>
        <v>#N/A</v>
      </c>
      <c r="AS149" s="361"/>
      <c r="AT149" s="939" t="e">
        <f>IF(AQ149="Jah", LOOKUP(AM149,'HT-Transport (M3)'!$B$87:$B$88,'HT-Transport (M3)'!$E$87:$E$88),IF(AQ149= "Ei", " "))</f>
        <v>#N/A</v>
      </c>
      <c r="AU149" s="940"/>
      <c r="AV149" s="549" t="e">
        <f t="shared" si="64"/>
        <v>#N/A</v>
      </c>
      <c r="AW149" s="549" t="e">
        <f t="shared" si="65"/>
        <v>#N/A</v>
      </c>
    </row>
    <row r="150" spans="1:54" ht="15" customHeight="1">
      <c r="B150" s="618"/>
      <c r="C150" s="923"/>
      <c r="D150" s="924"/>
      <c r="E150" s="619"/>
      <c r="F150" s="619"/>
      <c r="G150" s="572" t="s">
        <v>75</v>
      </c>
      <c r="H150" s="645" t="e">
        <f>IF(G150="Jah",LOOKUP(C150,'HT-Transport (M3)'!$B$87:$B$88,'HT-Transport (M3)'!$C$87:$C$88),IF(G150="Ei","x "))</f>
        <v>#N/A</v>
      </c>
      <c r="I150" s="361"/>
      <c r="J150" s="939" t="e">
        <f>IF(G150="Jah", LOOKUP(C150,'HT-Transport (M3)'!$B$87:$B$88,'HT-Transport (M3)'!$E$87:$E$88),IF(G150= "Ei", " "))</f>
        <v>#N/A</v>
      </c>
      <c r="K150" s="940"/>
      <c r="L150" s="549" t="e">
        <f t="shared" si="60"/>
        <v>#N/A</v>
      </c>
      <c r="M150" s="549" t="e">
        <f t="shared" si="61"/>
        <v>#N/A</v>
      </c>
      <c r="T150" s="618"/>
      <c r="U150" s="923"/>
      <c r="V150" s="924"/>
      <c r="W150" s="619"/>
      <c r="X150" s="619"/>
      <c r="Y150" s="572" t="s">
        <v>75</v>
      </c>
      <c r="Z150" s="645" t="e">
        <f>IF(Y150="Jah",LOOKUP(U150,'HT-Transport (M3)'!$B$87:$B$88,'HT-Transport (M3)'!$C$87:$C$88),IF(Y150="Ei","x "))</f>
        <v>#N/A</v>
      </c>
      <c r="AA150" s="361"/>
      <c r="AB150" s="939" t="e">
        <f>IF(Y150="Jah", LOOKUP(U150,'HT-Transport (M3)'!$B$87:$B$88,'HT-Transport (M3)'!$E$87:$E$88),IF(Y150= "Ei", " "))</f>
        <v>#N/A</v>
      </c>
      <c r="AC150" s="940"/>
      <c r="AD150" s="549" t="e">
        <f t="shared" si="62"/>
        <v>#N/A</v>
      </c>
      <c r="AE150" s="549" t="e">
        <f t="shared" si="63"/>
        <v>#N/A</v>
      </c>
      <c r="AL150" s="618"/>
      <c r="AM150" s="923"/>
      <c r="AN150" s="924"/>
      <c r="AO150" s="619"/>
      <c r="AP150" s="619"/>
      <c r="AQ150" s="572" t="s">
        <v>75</v>
      </c>
      <c r="AR150" s="645" t="e">
        <f>IF(AQ150="Jah",LOOKUP(AM150,'HT-Transport (M3)'!$B$87:$B$88,'HT-Transport (M3)'!$C$87:$C$88),IF(AQ150="Ei","x "))</f>
        <v>#N/A</v>
      </c>
      <c r="AS150" s="361"/>
      <c r="AT150" s="939" t="e">
        <f>IF(AQ150="Jah", LOOKUP(AM150,'HT-Transport (M3)'!$B$87:$B$88,'HT-Transport (M3)'!$E$87:$E$88),IF(AQ150= "Ei", " "))</f>
        <v>#N/A</v>
      </c>
      <c r="AU150" s="940"/>
      <c r="AV150" s="549" t="e">
        <f t="shared" si="64"/>
        <v>#N/A</v>
      </c>
      <c r="AW150" s="549" t="e">
        <f t="shared" si="65"/>
        <v>#N/A</v>
      </c>
    </row>
    <row r="151" spans="1:54" ht="15" customHeight="1">
      <c r="B151" s="618"/>
      <c r="C151" s="923"/>
      <c r="D151" s="924"/>
      <c r="E151" s="619"/>
      <c r="F151" s="619"/>
      <c r="G151" s="572" t="s">
        <v>75</v>
      </c>
      <c r="H151" s="645" t="e">
        <f>IF(G151="Jah",LOOKUP(C151,'HT-Transport (M3)'!$B$87:$B$88,'HT-Transport (M3)'!$C$87:$C$88),IF(G151="Ei","x "))</f>
        <v>#N/A</v>
      </c>
      <c r="I151" s="361"/>
      <c r="J151" s="939" t="e">
        <f>IF(G151="Jah", LOOKUP(C151,'HT-Transport (M3)'!$B$87:$B$88,'HT-Transport (M3)'!$E$87:$E$88),IF(G151= "Ei", " "))</f>
        <v>#N/A</v>
      </c>
      <c r="K151" s="940"/>
      <c r="L151" s="549" t="e">
        <f t="shared" si="60"/>
        <v>#N/A</v>
      </c>
      <c r="M151" s="549" t="e">
        <f t="shared" si="61"/>
        <v>#N/A</v>
      </c>
      <c r="T151" s="618"/>
      <c r="U151" s="923"/>
      <c r="V151" s="924"/>
      <c r="W151" s="619"/>
      <c r="X151" s="619"/>
      <c r="Y151" s="572" t="s">
        <v>75</v>
      </c>
      <c r="Z151" s="645" t="e">
        <f>IF(Y151="Jah",LOOKUP(U151,'HT-Transport (M3)'!$B$87:$B$88,'HT-Transport (M3)'!$C$87:$C$88),IF(Y151="Ei","x "))</f>
        <v>#N/A</v>
      </c>
      <c r="AA151" s="361"/>
      <c r="AB151" s="939" t="e">
        <f>IF(Y151="Jah", LOOKUP(U151,'HT-Transport (M3)'!$B$87:$B$88,'HT-Transport (M3)'!$E$87:$E$88),IF(Y151= "Ei", " "))</f>
        <v>#N/A</v>
      </c>
      <c r="AC151" s="940"/>
      <c r="AD151" s="549" t="e">
        <f t="shared" si="62"/>
        <v>#N/A</v>
      </c>
      <c r="AE151" s="549" t="e">
        <f t="shared" si="63"/>
        <v>#N/A</v>
      </c>
      <c r="AL151" s="618"/>
      <c r="AM151" s="923"/>
      <c r="AN151" s="924"/>
      <c r="AO151" s="619"/>
      <c r="AP151" s="619"/>
      <c r="AQ151" s="572" t="s">
        <v>75</v>
      </c>
      <c r="AR151" s="645" t="e">
        <f>IF(AQ151="Jah",LOOKUP(AM151,'HT-Transport (M3)'!$B$87:$B$88,'HT-Transport (M3)'!$C$87:$C$88),IF(AQ151="Ei","x "))</f>
        <v>#N/A</v>
      </c>
      <c r="AS151" s="361"/>
      <c r="AT151" s="939" t="e">
        <f>IF(AQ151="Jah", LOOKUP(AM151,'HT-Transport (M3)'!$B$87:$B$88,'HT-Transport (M3)'!$E$87:$E$88),IF(AQ151= "Ei", " "))</f>
        <v>#N/A</v>
      </c>
      <c r="AU151" s="940"/>
      <c r="AV151" s="549" t="e">
        <f t="shared" si="64"/>
        <v>#N/A</v>
      </c>
      <c r="AW151" s="549" t="e">
        <f t="shared" si="65"/>
        <v>#N/A</v>
      </c>
    </row>
    <row r="152" spans="1:54" ht="15" customHeight="1">
      <c r="B152" s="618"/>
      <c r="C152" s="923"/>
      <c r="D152" s="924"/>
      <c r="E152" s="619"/>
      <c r="F152" s="619"/>
      <c r="G152" s="572" t="s">
        <v>75</v>
      </c>
      <c r="H152" s="645" t="e">
        <f>IF(G152="Jah",LOOKUP(C152,'HT-Transport (M3)'!$B$87:$B$88,'HT-Transport (M3)'!$C$87:$C$88),IF(G152="Ei","x "))</f>
        <v>#N/A</v>
      </c>
      <c r="I152" s="361"/>
      <c r="J152" s="939" t="e">
        <f>IF(G152="Jah", LOOKUP(C152,'HT-Transport (M3)'!$B$87:$B$88,'HT-Transport (M3)'!$E$87:$E$88),IF(G152= "Ei", " "))</f>
        <v>#N/A</v>
      </c>
      <c r="K152" s="940"/>
      <c r="L152" s="549" t="e">
        <f t="shared" si="60"/>
        <v>#N/A</v>
      </c>
      <c r="M152" s="549" t="e">
        <f t="shared" si="61"/>
        <v>#N/A</v>
      </c>
      <c r="T152" s="618"/>
      <c r="U152" s="923"/>
      <c r="V152" s="924"/>
      <c r="W152" s="619"/>
      <c r="X152" s="619"/>
      <c r="Y152" s="572" t="s">
        <v>75</v>
      </c>
      <c r="Z152" s="645" t="e">
        <f>IF(Y152="Jah",LOOKUP(U152,'HT-Transport (M3)'!$B$87:$B$88,'HT-Transport (M3)'!$C$87:$C$88),IF(Y152="Ei","x "))</f>
        <v>#N/A</v>
      </c>
      <c r="AA152" s="361"/>
      <c r="AB152" s="939" t="e">
        <f>IF(Y152="Jah", LOOKUP(U152,'HT-Transport (M3)'!$B$87:$B$88,'HT-Transport (M3)'!$E$87:$E$88),IF(Y152= "Ei", " "))</f>
        <v>#N/A</v>
      </c>
      <c r="AC152" s="940"/>
      <c r="AD152" s="549" t="e">
        <f t="shared" si="62"/>
        <v>#N/A</v>
      </c>
      <c r="AE152" s="549" t="e">
        <f t="shared" si="63"/>
        <v>#N/A</v>
      </c>
      <c r="AL152" s="618"/>
      <c r="AM152" s="923"/>
      <c r="AN152" s="924"/>
      <c r="AO152" s="619"/>
      <c r="AP152" s="619"/>
      <c r="AQ152" s="572" t="s">
        <v>75</v>
      </c>
      <c r="AR152" s="645" t="e">
        <f>IF(AQ152="Jah",LOOKUP(AM152,'HT-Transport (M3)'!$B$87:$B$88,'HT-Transport (M3)'!$C$87:$C$88),IF(AQ152="Ei","x "))</f>
        <v>#N/A</v>
      </c>
      <c r="AS152" s="361"/>
      <c r="AT152" s="939" t="e">
        <f>IF(AQ152="Jah", LOOKUP(AM152,'HT-Transport (M3)'!$B$87:$B$88,'HT-Transport (M3)'!$E$87:$E$88),IF(AQ152= "Ei", " "))</f>
        <v>#N/A</v>
      </c>
      <c r="AU152" s="940"/>
      <c r="AV152" s="549" t="e">
        <f t="shared" si="64"/>
        <v>#N/A</v>
      </c>
      <c r="AW152" s="549" t="e">
        <f t="shared" si="65"/>
        <v>#N/A</v>
      </c>
    </row>
    <row r="153" spans="1:54" ht="15" customHeight="1">
      <c r="B153" s="625"/>
      <c r="C153" s="626"/>
      <c r="D153" s="626"/>
      <c r="E153" s="643"/>
      <c r="F153" s="626"/>
      <c r="G153" s="643"/>
      <c r="H153" s="643"/>
      <c r="I153" s="537"/>
      <c r="J153" s="537"/>
      <c r="K153" s="592" t="s">
        <v>1592</v>
      </c>
      <c r="L153" s="594">
        <f>SUMIF(L143:L152,"&lt;&gt;#N/A")</f>
        <v>51206.453066467649</v>
      </c>
      <c r="M153" s="594">
        <f>SUMIF(M143:M152,"&lt;&gt;#N/A")</f>
        <v>51.206453066467645</v>
      </c>
      <c r="T153" s="625"/>
      <c r="U153" s="626"/>
      <c r="V153" s="626"/>
      <c r="W153" s="643"/>
      <c r="X153" s="626"/>
      <c r="Y153" s="643"/>
      <c r="Z153" s="643"/>
      <c r="AA153" s="537"/>
      <c r="AB153" s="537"/>
      <c r="AC153" s="592" t="s">
        <v>1592</v>
      </c>
      <c r="AD153" s="594">
        <f>SUMIF(AD143:AD152,"&lt;&gt;#N/A")</f>
        <v>0</v>
      </c>
      <c r="AE153" s="594">
        <f>SUMIF(AE143:AE152,"&lt;&gt;#N/A")</f>
        <v>0</v>
      </c>
      <c r="AL153" s="625"/>
      <c r="AM153" s="626"/>
      <c r="AN153" s="626"/>
      <c r="AO153" s="643"/>
      <c r="AP153" s="626"/>
      <c r="AQ153" s="643"/>
      <c r="AR153" s="643"/>
      <c r="AS153" s="537"/>
      <c r="AT153" s="537"/>
      <c r="AU153" s="592" t="s">
        <v>1592</v>
      </c>
      <c r="AV153" s="594">
        <f>SUMIF(AV143:AV152,"&lt;&gt;#N/A")</f>
        <v>0</v>
      </c>
      <c r="AW153" s="594">
        <f>SUMIF(AW143:AW152,"&lt;&gt;#N/A")</f>
        <v>0</v>
      </c>
    </row>
    <row r="154" spans="1:54" ht="15" customHeight="1">
      <c r="F154" s="297"/>
      <c r="H154" s="297"/>
    </row>
    <row r="155" spans="1:54" ht="15" customHeight="1">
      <c r="A155" s="297"/>
      <c r="X155" s="365"/>
      <c r="Z155" s="365"/>
      <c r="AP155" s="365"/>
      <c r="AR155" s="365"/>
    </row>
    <row r="156" spans="1:54" ht="15" customHeight="1">
      <c r="B156" s="320" t="s">
        <v>1630</v>
      </c>
      <c r="C156" s="321"/>
      <c r="D156" s="321"/>
      <c r="E156" s="321"/>
      <c r="F156" s="639"/>
      <c r="G156" s="321"/>
      <c r="H156" s="639"/>
      <c r="I156" s="639"/>
      <c r="J156" s="321"/>
      <c r="K156" s="321"/>
      <c r="L156" s="321"/>
      <c r="M156" s="321"/>
      <c r="N156" s="321"/>
      <c r="O156" s="321"/>
      <c r="P156" s="321"/>
      <c r="Q156" s="321"/>
      <c r="R156" s="322"/>
      <c r="T156" s="320" t="s">
        <v>1630</v>
      </c>
      <c r="U156" s="321"/>
      <c r="V156" s="321"/>
      <c r="W156" s="321"/>
      <c r="X156" s="639"/>
      <c r="Y156" s="321"/>
      <c r="Z156" s="639"/>
      <c r="AA156" s="639"/>
      <c r="AB156" s="321"/>
      <c r="AC156" s="321"/>
      <c r="AD156" s="321"/>
      <c r="AE156" s="321"/>
      <c r="AF156" s="321"/>
      <c r="AG156" s="321"/>
      <c r="AH156" s="321"/>
      <c r="AI156" s="321"/>
      <c r="AJ156" s="322"/>
      <c r="AL156" s="320" t="s">
        <v>1630</v>
      </c>
      <c r="AM156" s="321"/>
      <c r="AN156" s="321"/>
      <c r="AO156" s="321"/>
      <c r="AP156" s="639"/>
      <c r="AQ156" s="321"/>
      <c r="AR156" s="639"/>
      <c r="AS156" s="639"/>
      <c r="AT156" s="321"/>
      <c r="AU156" s="321"/>
      <c r="AV156" s="321"/>
      <c r="AW156" s="321"/>
      <c r="AX156" s="321"/>
      <c r="AY156" s="321"/>
      <c r="AZ156" s="321"/>
      <c r="BA156" s="321"/>
      <c r="BB156" s="322"/>
    </row>
    <row r="157" spans="1:54" ht="15" customHeight="1">
      <c r="B157" s="646" t="s">
        <v>1629</v>
      </c>
      <c r="C157" s="503"/>
      <c r="D157" s="503"/>
      <c r="E157" s="503"/>
      <c r="F157" s="647"/>
      <c r="G157" s="543"/>
      <c r="H157" s="639"/>
      <c r="I157" s="639"/>
      <c r="J157" s="321"/>
      <c r="K157" s="321"/>
      <c r="L157" s="543"/>
      <c r="M157" s="543"/>
      <c r="N157" s="543"/>
      <c r="O157" s="543"/>
      <c r="P157" s="543"/>
      <c r="Q157" s="543"/>
      <c r="R157" s="543"/>
      <c r="T157" s="646" t="s">
        <v>1629</v>
      </c>
      <c r="U157" s="503"/>
      <c r="V157" s="503"/>
      <c r="W157" s="503"/>
      <c r="X157" s="647"/>
      <c r="Y157" s="543"/>
      <c r="Z157" s="639"/>
      <c r="AA157" s="639"/>
      <c r="AB157" s="321"/>
      <c r="AC157" s="321"/>
      <c r="AD157" s="543"/>
      <c r="AE157" s="543"/>
      <c r="AF157" s="543"/>
      <c r="AG157" s="543"/>
      <c r="AH157" s="543"/>
      <c r="AI157" s="543"/>
      <c r="AJ157" s="543"/>
      <c r="AL157" s="646" t="s">
        <v>1629</v>
      </c>
      <c r="AM157" s="503"/>
      <c r="AN157" s="503"/>
      <c r="AO157" s="503"/>
      <c r="AP157" s="647"/>
      <c r="AQ157" s="543"/>
      <c r="AR157" s="639"/>
      <c r="AS157" s="639"/>
      <c r="AT157" s="321"/>
      <c r="AU157" s="321"/>
      <c r="AV157" s="543"/>
      <c r="AW157" s="543"/>
      <c r="AX157" s="543"/>
      <c r="AY157" s="543"/>
      <c r="AZ157" s="543"/>
      <c r="BA157" s="543"/>
      <c r="BB157" s="543"/>
    </row>
    <row r="158" spans="1:54" ht="15" customHeight="1">
      <c r="B158" s="926" t="s">
        <v>57</v>
      </c>
      <c r="C158" s="928" t="s">
        <v>1460</v>
      </c>
      <c r="D158" s="929"/>
      <c r="E158" s="925" t="s">
        <v>111</v>
      </c>
      <c r="F158" s="915" t="s">
        <v>107</v>
      </c>
      <c r="G158" s="914" t="s">
        <v>68</v>
      </c>
      <c r="H158" s="947" t="s">
        <v>69</v>
      </c>
      <c r="I158" s="948"/>
      <c r="J158" s="947" t="s">
        <v>70</v>
      </c>
      <c r="K158" s="948"/>
      <c r="L158" s="908" t="s">
        <v>71</v>
      </c>
      <c r="M158" s="941"/>
      <c r="N158" s="909"/>
      <c r="O158" s="916" t="s">
        <v>86</v>
      </c>
      <c r="P158" s="945"/>
      <c r="Q158" s="945"/>
      <c r="R158" s="945"/>
      <c r="T158" s="926" t="s">
        <v>57</v>
      </c>
      <c r="U158" s="928" t="s">
        <v>1460</v>
      </c>
      <c r="V158" s="929"/>
      <c r="W158" s="915" t="s">
        <v>109</v>
      </c>
      <c r="X158" s="915" t="s">
        <v>107</v>
      </c>
      <c r="Y158" s="914" t="s">
        <v>68</v>
      </c>
      <c r="Z158" s="947" t="s">
        <v>69</v>
      </c>
      <c r="AA158" s="948"/>
      <c r="AB158" s="947" t="s">
        <v>70</v>
      </c>
      <c r="AC158" s="948"/>
      <c r="AD158" s="908" t="s">
        <v>71</v>
      </c>
      <c r="AE158" s="941"/>
      <c r="AF158" s="909"/>
      <c r="AG158" s="916" t="s">
        <v>86</v>
      </c>
      <c r="AH158" s="945"/>
      <c r="AI158" s="945"/>
      <c r="AJ158" s="945"/>
      <c r="AL158" s="926" t="s">
        <v>57</v>
      </c>
      <c r="AM158" s="928" t="s">
        <v>1460</v>
      </c>
      <c r="AN158" s="929"/>
      <c r="AO158" s="915" t="s">
        <v>109</v>
      </c>
      <c r="AP158" s="915" t="s">
        <v>107</v>
      </c>
      <c r="AQ158" s="914" t="s">
        <v>68</v>
      </c>
      <c r="AR158" s="947" t="s">
        <v>69</v>
      </c>
      <c r="AS158" s="948"/>
      <c r="AT158" s="947" t="s">
        <v>70</v>
      </c>
      <c r="AU158" s="948"/>
      <c r="AV158" s="908" t="s">
        <v>71</v>
      </c>
      <c r="AW158" s="941"/>
      <c r="AX158" s="909"/>
      <c r="AY158" s="916" t="s">
        <v>86</v>
      </c>
      <c r="AZ158" s="945"/>
      <c r="BA158" s="945"/>
      <c r="BB158" s="945"/>
    </row>
    <row r="159" spans="1:54" ht="15" customHeight="1">
      <c r="B159" s="926"/>
      <c r="C159" s="928"/>
      <c r="D159" s="929"/>
      <c r="E159" s="926"/>
      <c r="F159" s="915"/>
      <c r="G159" s="915"/>
      <c r="H159" s="914" t="s">
        <v>358</v>
      </c>
      <c r="I159" s="914" t="s">
        <v>359</v>
      </c>
      <c r="J159" s="914" t="s">
        <v>358</v>
      </c>
      <c r="K159" s="914" t="s">
        <v>359</v>
      </c>
      <c r="L159" s="928"/>
      <c r="M159" s="942"/>
      <c r="N159" s="929"/>
      <c r="O159" s="920"/>
      <c r="P159" s="946"/>
      <c r="Q159" s="946"/>
      <c r="R159" s="946"/>
      <c r="T159" s="926"/>
      <c r="U159" s="928"/>
      <c r="V159" s="929"/>
      <c r="W159" s="915"/>
      <c r="X159" s="915"/>
      <c r="Y159" s="915"/>
      <c r="Z159" s="914" t="s">
        <v>358</v>
      </c>
      <c r="AA159" s="914" t="s">
        <v>359</v>
      </c>
      <c r="AB159" s="914" t="s">
        <v>358</v>
      </c>
      <c r="AC159" s="914" t="s">
        <v>359</v>
      </c>
      <c r="AD159" s="928"/>
      <c r="AE159" s="942"/>
      <c r="AF159" s="929"/>
      <c r="AG159" s="920"/>
      <c r="AH159" s="946"/>
      <c r="AI159" s="946"/>
      <c r="AJ159" s="946"/>
      <c r="AL159" s="926"/>
      <c r="AM159" s="928"/>
      <c r="AN159" s="929"/>
      <c r="AO159" s="915"/>
      <c r="AP159" s="915"/>
      <c r="AQ159" s="915"/>
      <c r="AR159" s="914" t="s">
        <v>358</v>
      </c>
      <c r="AS159" s="914" t="s">
        <v>359</v>
      </c>
      <c r="AT159" s="914" t="s">
        <v>358</v>
      </c>
      <c r="AU159" s="914" t="s">
        <v>359</v>
      </c>
      <c r="AV159" s="928"/>
      <c r="AW159" s="942"/>
      <c r="AX159" s="929"/>
      <c r="AY159" s="920"/>
      <c r="AZ159" s="946"/>
      <c r="BA159" s="946"/>
      <c r="BB159" s="946"/>
    </row>
    <row r="160" spans="1:54" ht="15" customHeight="1">
      <c r="B160" s="926"/>
      <c r="C160" s="928"/>
      <c r="D160" s="929"/>
      <c r="E160" s="926"/>
      <c r="F160" s="915"/>
      <c r="G160" s="922"/>
      <c r="H160" s="922"/>
      <c r="I160" s="922"/>
      <c r="J160" s="922"/>
      <c r="K160" s="922"/>
      <c r="L160" s="928"/>
      <c r="M160" s="942"/>
      <c r="N160" s="929"/>
      <c r="O160" s="947" t="s">
        <v>358</v>
      </c>
      <c r="P160" s="948"/>
      <c r="Q160" s="947" t="s">
        <v>359</v>
      </c>
      <c r="R160" s="948"/>
      <c r="T160" s="926"/>
      <c r="U160" s="928"/>
      <c r="V160" s="929"/>
      <c r="W160" s="915"/>
      <c r="X160" s="915"/>
      <c r="Y160" s="922"/>
      <c r="Z160" s="922"/>
      <c r="AA160" s="922"/>
      <c r="AB160" s="922"/>
      <c r="AC160" s="922"/>
      <c r="AD160" s="928"/>
      <c r="AE160" s="942"/>
      <c r="AF160" s="929"/>
      <c r="AG160" s="947" t="s">
        <v>358</v>
      </c>
      <c r="AH160" s="948"/>
      <c r="AI160" s="947" t="s">
        <v>359</v>
      </c>
      <c r="AJ160" s="948"/>
      <c r="AL160" s="926"/>
      <c r="AM160" s="928"/>
      <c r="AN160" s="929"/>
      <c r="AO160" s="915"/>
      <c r="AP160" s="915"/>
      <c r="AQ160" s="922"/>
      <c r="AR160" s="922"/>
      <c r="AS160" s="922"/>
      <c r="AT160" s="922"/>
      <c r="AU160" s="922"/>
      <c r="AV160" s="928"/>
      <c r="AW160" s="942"/>
      <c r="AX160" s="929"/>
      <c r="AY160" s="947" t="s">
        <v>358</v>
      </c>
      <c r="AZ160" s="948"/>
      <c r="BA160" s="947" t="s">
        <v>359</v>
      </c>
      <c r="BB160" s="948"/>
    </row>
    <row r="161" spans="1:54" ht="15" customHeight="1">
      <c r="B161" s="927"/>
      <c r="C161" s="910"/>
      <c r="D161" s="911"/>
      <c r="E161" s="927"/>
      <c r="F161" s="922"/>
      <c r="G161" s="571" t="s">
        <v>73</v>
      </c>
      <c r="H161" s="947" t="s">
        <v>2110</v>
      </c>
      <c r="I161" s="948"/>
      <c r="J161" s="947" t="s">
        <v>2110</v>
      </c>
      <c r="K161" s="948"/>
      <c r="L161" s="928"/>
      <c r="M161" s="942"/>
      <c r="N161" s="929"/>
      <c r="O161" s="527" t="s">
        <v>2085</v>
      </c>
      <c r="P161" s="527" t="s">
        <v>2086</v>
      </c>
      <c r="Q161" s="527" t="s">
        <v>2085</v>
      </c>
      <c r="R161" s="527" t="s">
        <v>2086</v>
      </c>
      <c r="T161" s="927"/>
      <c r="U161" s="910"/>
      <c r="V161" s="911"/>
      <c r="W161" s="922"/>
      <c r="X161" s="922"/>
      <c r="Y161" s="571" t="s">
        <v>73</v>
      </c>
      <c r="Z161" s="947" t="s">
        <v>2110</v>
      </c>
      <c r="AA161" s="948"/>
      <c r="AB161" s="947" t="s">
        <v>2110</v>
      </c>
      <c r="AC161" s="948"/>
      <c r="AD161" s="928"/>
      <c r="AE161" s="942"/>
      <c r="AF161" s="929"/>
      <c r="AG161" s="527" t="s">
        <v>2085</v>
      </c>
      <c r="AH161" s="527" t="s">
        <v>2086</v>
      </c>
      <c r="AI161" s="527" t="s">
        <v>2085</v>
      </c>
      <c r="AJ161" s="527" t="s">
        <v>2086</v>
      </c>
      <c r="AL161" s="927"/>
      <c r="AM161" s="910"/>
      <c r="AN161" s="911"/>
      <c r="AO161" s="922"/>
      <c r="AP161" s="922"/>
      <c r="AQ161" s="571" t="s">
        <v>73</v>
      </c>
      <c r="AR161" s="947" t="s">
        <v>2110</v>
      </c>
      <c r="AS161" s="948"/>
      <c r="AT161" s="947" t="s">
        <v>2110</v>
      </c>
      <c r="AU161" s="948"/>
      <c r="AV161" s="928"/>
      <c r="AW161" s="942"/>
      <c r="AX161" s="929"/>
      <c r="AY161" s="527" t="s">
        <v>2085</v>
      </c>
      <c r="AZ161" s="527" t="s">
        <v>2086</v>
      </c>
      <c r="BA161" s="527" t="s">
        <v>2085</v>
      </c>
      <c r="BB161" s="527" t="s">
        <v>2086</v>
      </c>
    </row>
    <row r="162" spans="1:54" ht="15" customHeight="1">
      <c r="B162" s="618"/>
      <c r="C162" s="923"/>
      <c r="D162" s="924"/>
      <c r="E162" s="619"/>
      <c r="F162" s="619"/>
      <c r="G162" s="572" t="s">
        <v>75</v>
      </c>
      <c r="H162" s="648" t="e">
        <f>IF(G162="Jah",LOOKUP(C162,'HT-Transport (M3)'!$B$93,'HT-Transport (M3)'!$C$93),IF(G162="Ei","x "))</f>
        <v>#N/A</v>
      </c>
      <c r="I162" s="621" t="e">
        <f>IF(G162="Jah",LOOKUP(C162,'HT-Transport (M3)'!$B$93,'HT-Transport (M3)'!$D$93),IF(G162="Ei","x "))</f>
        <v>#N/A</v>
      </c>
      <c r="J162" s="618"/>
      <c r="K162" s="361"/>
      <c r="L162" s="939" t="e">
        <f>IF(G162="Jah", LOOKUP(C162,'HT-Transport (M3)'!$B$93,'HT-Transport (M3)'!$F$93),IF(G162= "Ei", " "))</f>
        <v>#N/A</v>
      </c>
      <c r="M162" s="944"/>
      <c r="N162" s="940"/>
      <c r="O162" s="549" t="e">
        <f>IF(G162="Jah",E162*F162*H162, IF(G162="Ei",E162*F162*J162))</f>
        <v>#N/A</v>
      </c>
      <c r="P162" s="549" t="e">
        <f>O162*0.001</f>
        <v>#N/A</v>
      </c>
      <c r="Q162" s="549" t="e">
        <f>IF(G162="Jah",E162*F162*I162, IF(G162="Ei",E162*F162*K162))</f>
        <v>#N/A</v>
      </c>
      <c r="R162" s="549" t="e">
        <f>Q162*0.001</f>
        <v>#N/A</v>
      </c>
      <c r="T162" s="618"/>
      <c r="U162" s="923"/>
      <c r="V162" s="924"/>
      <c r="W162" s="619"/>
      <c r="X162" s="619"/>
      <c r="Y162" s="572" t="s">
        <v>75</v>
      </c>
      <c r="Z162" s="648" t="e">
        <f>IF(Y162="Jah",LOOKUP(U162,'HT-Transport (M3)'!$B$93,'HT-Transport (M3)'!$C$93),IF(Y162="Ei","x "))</f>
        <v>#N/A</v>
      </c>
      <c r="AA162" s="621" t="e">
        <f>IF(Y162="Jah",LOOKUP(U162,'HT-Transport (M3)'!$B$93,'HT-Transport (M3)'!$D$93),IF(Y162="Ei","x "))</f>
        <v>#N/A</v>
      </c>
      <c r="AB162" s="618"/>
      <c r="AC162" s="361"/>
      <c r="AD162" s="939" t="e">
        <f>IF(Y162="Jah", LOOKUP(U162,'HT-Transport (M3)'!$B$93,'HT-Transport (M3)'!$F$93),IF(Y162= "Ei", " "))</f>
        <v>#N/A</v>
      </c>
      <c r="AE162" s="944"/>
      <c r="AF162" s="940"/>
      <c r="AG162" s="549" t="e">
        <f>IF(Y162="Jah",W162*X162*Z162, IF(Y162="Ei",W162*X162*AB162))</f>
        <v>#N/A</v>
      </c>
      <c r="AH162" s="549" t="e">
        <f>AG162*0.001</f>
        <v>#N/A</v>
      </c>
      <c r="AI162" s="549" t="e">
        <f>IF(Y162="Jah",W162*X162*AA162, IF(Y162="Ei",W162*X162*AC162))</f>
        <v>#N/A</v>
      </c>
      <c r="AJ162" s="549" t="e">
        <f>AI162*0.001</f>
        <v>#N/A</v>
      </c>
      <c r="AL162" s="618"/>
      <c r="AM162" s="923"/>
      <c r="AN162" s="924"/>
      <c r="AO162" s="619"/>
      <c r="AP162" s="619"/>
      <c r="AQ162" s="572" t="s">
        <v>75</v>
      </c>
      <c r="AR162" s="648" t="e">
        <f>IF(AQ162="Jah",LOOKUP(AM162,'HT-Transport (M3)'!$B$93,'HT-Transport (M3)'!$C$93),IF(AQ162="Ei","x "))</f>
        <v>#N/A</v>
      </c>
      <c r="AS162" s="621" t="e">
        <f>IF(AQ162="Jah",LOOKUP(AM162,'HT-Transport (M3)'!$B$93,'HT-Transport (M3)'!$D$93),IF(AQ162="Ei","x "))</f>
        <v>#N/A</v>
      </c>
      <c r="AT162" s="618"/>
      <c r="AU162" s="361"/>
      <c r="AV162" s="939" t="e">
        <f>IF(AQ162="Jah", LOOKUP(AM162,'HT-Transport (M3)'!$B$93,'HT-Transport (M3)'!$F$93),IF(AQ162= "Ei", " "))</f>
        <v>#N/A</v>
      </c>
      <c r="AW162" s="944"/>
      <c r="AX162" s="940"/>
      <c r="AY162" s="549" t="e">
        <f>IF(AQ162="Jah",AO162*AP162*AR162, IF(AQ162="Ei",AO162*AP162*AT162))</f>
        <v>#N/A</v>
      </c>
      <c r="AZ162" s="549" t="e">
        <f>AY162*0.001</f>
        <v>#N/A</v>
      </c>
      <c r="BA162" s="549" t="e">
        <f>IF(AQ162="Jah",AO162*AP162*AS162, IF(AQ162="Ei",AO162*AP162*AU162))</f>
        <v>#N/A</v>
      </c>
      <c r="BB162" s="549" t="e">
        <f>BA162*0.001</f>
        <v>#N/A</v>
      </c>
    </row>
    <row r="163" spans="1:54" ht="15" customHeight="1">
      <c r="B163" s="618"/>
      <c r="C163" s="923"/>
      <c r="D163" s="924"/>
      <c r="E163" s="619"/>
      <c r="F163" s="619"/>
      <c r="G163" s="572" t="s">
        <v>75</v>
      </c>
      <c r="H163" s="648" t="e">
        <f>IF(G163="Jah",LOOKUP(C163,'HT-Transport (M3)'!$B$93,'HT-Transport (M3)'!$C$93),IF(G163="Ei","x "))</f>
        <v>#N/A</v>
      </c>
      <c r="I163" s="621" t="e">
        <f>IF(G163="Jah",LOOKUP(C163,'HT-Transport (M3)'!$B$93,'HT-Transport (M3)'!$D$93),IF(G163="Ei","x "))</f>
        <v>#N/A</v>
      </c>
      <c r="J163" s="618"/>
      <c r="K163" s="361"/>
      <c r="L163" s="939" t="e">
        <f>IF(G163="Jah", LOOKUP(C163,'HT-Transport (M3)'!$B$93,'HT-Transport (M3)'!$F$93),IF(G163= "Ei", " "))</f>
        <v>#N/A</v>
      </c>
      <c r="M163" s="944"/>
      <c r="N163" s="940"/>
      <c r="O163" s="549" t="e">
        <f t="shared" ref="O163:O170" si="66">IF(G163="Jah",E163*F163*H163, IF(G163="Ei",E163*F163*J163))</f>
        <v>#N/A</v>
      </c>
      <c r="P163" s="549" t="e">
        <f t="shared" ref="P163:P171" si="67">O163*0.001</f>
        <v>#N/A</v>
      </c>
      <c r="Q163" s="549" t="e">
        <f t="shared" ref="Q163:Q171" si="68">IF(G163="Jah",E163*F163*I163, IF(G163="Ei",E163*F163*K163))</f>
        <v>#N/A</v>
      </c>
      <c r="R163" s="549" t="e">
        <f t="shared" ref="R163:R171" si="69">Q163*0.001</f>
        <v>#N/A</v>
      </c>
      <c r="T163" s="618"/>
      <c r="U163" s="923"/>
      <c r="V163" s="924"/>
      <c r="W163" s="619"/>
      <c r="X163" s="619"/>
      <c r="Y163" s="572" t="s">
        <v>75</v>
      </c>
      <c r="Z163" s="648" t="e">
        <f>IF(Y163="Jah",LOOKUP(U163,'HT-Transport (M3)'!$B$93,'HT-Transport (M3)'!$C$93),IF(Y163="Ei","x "))</f>
        <v>#N/A</v>
      </c>
      <c r="AA163" s="621" t="e">
        <f>IF(Y163="Jah",LOOKUP(U163,'HT-Transport (M3)'!$B$93,'HT-Transport (M3)'!$D$93),IF(Y163="Ei","x "))</f>
        <v>#N/A</v>
      </c>
      <c r="AB163" s="618"/>
      <c r="AC163" s="361"/>
      <c r="AD163" s="939" t="e">
        <f>IF(Y163="Jah", LOOKUP(U163,'HT-Transport (M3)'!$B$93,'HT-Transport (M3)'!$F$93),IF(Y163= "Ei", " "))</f>
        <v>#N/A</v>
      </c>
      <c r="AE163" s="944"/>
      <c r="AF163" s="940"/>
      <c r="AG163" s="549" t="e">
        <f t="shared" ref="AG163:AG170" si="70">IF(Y163="Jah",W163*X163*Z163, IF(Y163="Ei",W163*X163*AB163))</f>
        <v>#N/A</v>
      </c>
      <c r="AH163" s="549" t="e">
        <f t="shared" ref="AH163:AH171" si="71">AG163*0.001</f>
        <v>#N/A</v>
      </c>
      <c r="AI163" s="549" t="e">
        <f t="shared" ref="AI163:AI171" si="72">IF(Y163="Jah",W163*X163*AA163, IF(Y163="Ei",W163*X163*AC163))</f>
        <v>#N/A</v>
      </c>
      <c r="AJ163" s="549" t="e">
        <f t="shared" ref="AJ163:AJ171" si="73">AI163*0.001</f>
        <v>#N/A</v>
      </c>
      <c r="AL163" s="618"/>
      <c r="AM163" s="923"/>
      <c r="AN163" s="924"/>
      <c r="AO163" s="619"/>
      <c r="AP163" s="619"/>
      <c r="AQ163" s="572" t="s">
        <v>75</v>
      </c>
      <c r="AR163" s="648" t="e">
        <f>IF(AQ163="Jah",LOOKUP(AM163,'HT-Transport (M3)'!$B$93,'HT-Transport (M3)'!$C$93),IF(AQ163="Ei","x "))</f>
        <v>#N/A</v>
      </c>
      <c r="AS163" s="621" t="e">
        <f>IF(AQ163="Jah",LOOKUP(AM163,'HT-Transport (M3)'!$B$93,'HT-Transport (M3)'!$D$93),IF(AQ163="Ei","x "))</f>
        <v>#N/A</v>
      </c>
      <c r="AT163" s="618"/>
      <c r="AU163" s="361"/>
      <c r="AV163" s="939" t="e">
        <f>IF(AQ163="Jah", LOOKUP(AM163,'HT-Transport (M3)'!$B$93,'HT-Transport (M3)'!$F$93),IF(AQ163= "Ei", " "))</f>
        <v>#N/A</v>
      </c>
      <c r="AW163" s="944"/>
      <c r="AX163" s="940"/>
      <c r="AY163" s="549" t="e">
        <f t="shared" ref="AY163:AY170" si="74">IF(AQ163="Jah",AO163*AP163*AR163, IF(AQ163="Ei",AO163*AP163*AT163))</f>
        <v>#N/A</v>
      </c>
      <c r="AZ163" s="549" t="e">
        <f t="shared" ref="AZ163:AZ171" si="75">AY163*0.001</f>
        <v>#N/A</v>
      </c>
      <c r="BA163" s="549" t="e">
        <f t="shared" ref="BA163:BA171" si="76">IF(AQ163="Jah",AO163*AP163*AS163, IF(AQ163="Ei",AO163*AP163*AU163))</f>
        <v>#N/A</v>
      </c>
      <c r="BB163" s="549" t="e">
        <f t="shared" ref="BB163:BB171" si="77">BA163*0.001</f>
        <v>#N/A</v>
      </c>
    </row>
    <row r="164" spans="1:54" ht="15" customHeight="1">
      <c r="B164" s="618"/>
      <c r="C164" s="923"/>
      <c r="D164" s="924"/>
      <c r="E164" s="619"/>
      <c r="F164" s="619"/>
      <c r="G164" s="572" t="s">
        <v>75</v>
      </c>
      <c r="H164" s="648" t="e">
        <f>IF(G164="Jah",LOOKUP(C164,'HT-Transport (M3)'!$B$93,'HT-Transport (M3)'!$C$93),IF(G164="Ei","x "))</f>
        <v>#N/A</v>
      </c>
      <c r="I164" s="621" t="e">
        <f>IF(G164="Jah",LOOKUP(C164,'HT-Transport (M3)'!$B$93,'HT-Transport (M3)'!$D$93),IF(G164="Ei","x "))</f>
        <v>#N/A</v>
      </c>
      <c r="J164" s="618"/>
      <c r="K164" s="361"/>
      <c r="L164" s="939" t="e">
        <f>IF(G164="Jah", LOOKUP(C164,'HT-Transport (M3)'!$B$93,'HT-Transport (M3)'!$F$93),IF(G164= "Ei", " "))</f>
        <v>#N/A</v>
      </c>
      <c r="M164" s="944"/>
      <c r="N164" s="940"/>
      <c r="O164" s="549" t="e">
        <f t="shared" si="66"/>
        <v>#N/A</v>
      </c>
      <c r="P164" s="549" t="e">
        <f t="shared" si="67"/>
        <v>#N/A</v>
      </c>
      <c r="Q164" s="549" t="e">
        <f t="shared" si="68"/>
        <v>#N/A</v>
      </c>
      <c r="R164" s="549" t="e">
        <f t="shared" si="69"/>
        <v>#N/A</v>
      </c>
      <c r="T164" s="618"/>
      <c r="U164" s="923"/>
      <c r="V164" s="924"/>
      <c r="W164" s="619"/>
      <c r="X164" s="619"/>
      <c r="Y164" s="572" t="s">
        <v>75</v>
      </c>
      <c r="Z164" s="648" t="e">
        <f>IF(Y164="Jah",LOOKUP(U164,'HT-Transport (M3)'!$B$93,'HT-Transport (M3)'!$C$93),IF(Y164="Ei","x "))</f>
        <v>#N/A</v>
      </c>
      <c r="AA164" s="621" t="e">
        <f>IF(Y164="Jah",LOOKUP(U164,'HT-Transport (M3)'!$B$93,'HT-Transport (M3)'!$D$93),IF(Y164="Ei","x "))</f>
        <v>#N/A</v>
      </c>
      <c r="AB164" s="618"/>
      <c r="AC164" s="361"/>
      <c r="AD164" s="939" t="e">
        <f>IF(Y164="Jah", LOOKUP(U164,'HT-Transport (M3)'!$B$93,'HT-Transport (M3)'!$F$93),IF(Y164= "Ei", " "))</f>
        <v>#N/A</v>
      </c>
      <c r="AE164" s="944"/>
      <c r="AF164" s="940"/>
      <c r="AG164" s="549" t="e">
        <f t="shared" si="70"/>
        <v>#N/A</v>
      </c>
      <c r="AH164" s="549" t="e">
        <f t="shared" si="71"/>
        <v>#N/A</v>
      </c>
      <c r="AI164" s="549" t="e">
        <f t="shared" si="72"/>
        <v>#N/A</v>
      </c>
      <c r="AJ164" s="549" t="e">
        <f t="shared" si="73"/>
        <v>#N/A</v>
      </c>
      <c r="AL164" s="618"/>
      <c r="AM164" s="923"/>
      <c r="AN164" s="924"/>
      <c r="AO164" s="619"/>
      <c r="AP164" s="619"/>
      <c r="AQ164" s="572" t="s">
        <v>75</v>
      </c>
      <c r="AR164" s="648" t="e">
        <f>IF(AQ164="Jah",LOOKUP(AM164,'HT-Transport (M3)'!$B$93,'HT-Transport (M3)'!$C$93),IF(AQ164="Ei","x "))</f>
        <v>#N/A</v>
      </c>
      <c r="AS164" s="621" t="e">
        <f>IF(AQ164="Jah",LOOKUP(AM164,'HT-Transport (M3)'!$B$93,'HT-Transport (M3)'!$D$93),IF(AQ164="Ei","x "))</f>
        <v>#N/A</v>
      </c>
      <c r="AT164" s="618"/>
      <c r="AU164" s="361"/>
      <c r="AV164" s="939" t="e">
        <f>IF(AQ164="Jah", LOOKUP(AM164,'HT-Transport (M3)'!$B$93,'HT-Transport (M3)'!$F$93),IF(AQ164= "Ei", " "))</f>
        <v>#N/A</v>
      </c>
      <c r="AW164" s="944"/>
      <c r="AX164" s="940"/>
      <c r="AY164" s="549" t="e">
        <f t="shared" si="74"/>
        <v>#N/A</v>
      </c>
      <c r="AZ164" s="549" t="e">
        <f t="shared" si="75"/>
        <v>#N/A</v>
      </c>
      <c r="BA164" s="549" t="e">
        <f t="shared" si="76"/>
        <v>#N/A</v>
      </c>
      <c r="BB164" s="549" t="e">
        <f t="shared" si="77"/>
        <v>#N/A</v>
      </c>
    </row>
    <row r="165" spans="1:54" ht="15" customHeight="1">
      <c r="A165" s="297"/>
      <c r="B165" s="618"/>
      <c r="C165" s="923"/>
      <c r="D165" s="924"/>
      <c r="E165" s="619"/>
      <c r="F165" s="619"/>
      <c r="G165" s="572" t="s">
        <v>75</v>
      </c>
      <c r="H165" s="648" t="e">
        <f>IF(G165="Jah",LOOKUP(C165,'HT-Transport (M3)'!$B$93,'HT-Transport (M3)'!$C$93),IF(G165="Ei","x "))</f>
        <v>#N/A</v>
      </c>
      <c r="I165" s="621" t="e">
        <f>IF(G165="Jah",LOOKUP(C165,'HT-Transport (M3)'!$B$93,'HT-Transport (M3)'!$D$93),IF(G165="Ei","x "))</f>
        <v>#N/A</v>
      </c>
      <c r="J165" s="618"/>
      <c r="K165" s="361"/>
      <c r="L165" s="939" t="e">
        <f>IF(G165="Jah", LOOKUP(C165,'HT-Transport (M3)'!$B$93,'HT-Transport (M3)'!$F$93),IF(G165= "Ei", " "))</f>
        <v>#N/A</v>
      </c>
      <c r="M165" s="944"/>
      <c r="N165" s="940"/>
      <c r="O165" s="549" t="e">
        <f t="shared" si="66"/>
        <v>#N/A</v>
      </c>
      <c r="P165" s="549" t="e">
        <f t="shared" si="67"/>
        <v>#N/A</v>
      </c>
      <c r="Q165" s="549" t="e">
        <f t="shared" si="68"/>
        <v>#N/A</v>
      </c>
      <c r="R165" s="549" t="e">
        <f t="shared" si="69"/>
        <v>#N/A</v>
      </c>
      <c r="T165" s="618"/>
      <c r="U165" s="923"/>
      <c r="V165" s="924"/>
      <c r="W165" s="619"/>
      <c r="X165" s="619"/>
      <c r="Y165" s="572" t="s">
        <v>75</v>
      </c>
      <c r="Z165" s="648" t="e">
        <f>IF(Y165="Jah",LOOKUP(U165,'HT-Transport (M3)'!$B$93,'HT-Transport (M3)'!$C$93),IF(Y165="Ei","x "))</f>
        <v>#N/A</v>
      </c>
      <c r="AA165" s="621" t="e">
        <f>IF(Y165="Jah",LOOKUP(U165,'HT-Transport (M3)'!$B$93,'HT-Transport (M3)'!$D$93),IF(Y165="Ei","x "))</f>
        <v>#N/A</v>
      </c>
      <c r="AB165" s="618"/>
      <c r="AC165" s="361"/>
      <c r="AD165" s="939" t="e">
        <f>IF(Y165="Jah", LOOKUP(U165,'HT-Transport (M3)'!$B$93,'HT-Transport (M3)'!$F$93),IF(Y165= "Ei", " "))</f>
        <v>#N/A</v>
      </c>
      <c r="AE165" s="944"/>
      <c r="AF165" s="940"/>
      <c r="AG165" s="549" t="e">
        <f t="shared" si="70"/>
        <v>#N/A</v>
      </c>
      <c r="AH165" s="549" t="e">
        <f t="shared" si="71"/>
        <v>#N/A</v>
      </c>
      <c r="AI165" s="549" t="e">
        <f t="shared" si="72"/>
        <v>#N/A</v>
      </c>
      <c r="AJ165" s="549" t="e">
        <f t="shared" si="73"/>
        <v>#N/A</v>
      </c>
      <c r="AL165" s="618"/>
      <c r="AM165" s="923"/>
      <c r="AN165" s="924"/>
      <c r="AO165" s="619"/>
      <c r="AP165" s="619"/>
      <c r="AQ165" s="572" t="s">
        <v>75</v>
      </c>
      <c r="AR165" s="648" t="e">
        <f>IF(AQ165="Jah",LOOKUP(AM165,'HT-Transport (M3)'!$B$93,'HT-Transport (M3)'!$C$93),IF(AQ165="Ei","x "))</f>
        <v>#N/A</v>
      </c>
      <c r="AS165" s="621" t="e">
        <f>IF(AQ165="Jah",LOOKUP(AM165,'HT-Transport (M3)'!$B$93,'HT-Transport (M3)'!$D$93),IF(AQ165="Ei","x "))</f>
        <v>#N/A</v>
      </c>
      <c r="AT165" s="618"/>
      <c r="AU165" s="361"/>
      <c r="AV165" s="939" t="e">
        <f>IF(AQ165="Jah", LOOKUP(AM165,'HT-Transport (M3)'!$B$93,'HT-Transport (M3)'!$F$93),IF(AQ165= "Ei", " "))</f>
        <v>#N/A</v>
      </c>
      <c r="AW165" s="944"/>
      <c r="AX165" s="940"/>
      <c r="AY165" s="549" t="e">
        <f t="shared" si="74"/>
        <v>#N/A</v>
      </c>
      <c r="AZ165" s="549" t="e">
        <f t="shared" si="75"/>
        <v>#N/A</v>
      </c>
      <c r="BA165" s="549" t="e">
        <f t="shared" si="76"/>
        <v>#N/A</v>
      </c>
      <c r="BB165" s="549" t="e">
        <f t="shared" si="77"/>
        <v>#N/A</v>
      </c>
    </row>
    <row r="166" spans="1:54" ht="15" customHeight="1">
      <c r="A166" s="297"/>
      <c r="B166" s="618"/>
      <c r="C166" s="923"/>
      <c r="D166" s="924"/>
      <c r="E166" s="619"/>
      <c r="F166" s="619"/>
      <c r="G166" s="572" t="s">
        <v>75</v>
      </c>
      <c r="H166" s="648" t="e">
        <f>IF(G166="Jah",LOOKUP(C166,'HT-Transport (M3)'!$B$93,'HT-Transport (M3)'!$C$93),IF(G166="Ei","x "))</f>
        <v>#N/A</v>
      </c>
      <c r="I166" s="621" t="e">
        <f>IF(G166="Jah",LOOKUP(C166,'HT-Transport (M3)'!$B$93,'HT-Transport (M3)'!$D$93),IF(G166="Ei","x "))</f>
        <v>#N/A</v>
      </c>
      <c r="J166" s="618"/>
      <c r="K166" s="361"/>
      <c r="L166" s="939" t="e">
        <f>IF(G166="Jah", LOOKUP(C166,'HT-Transport (M3)'!$B$93,'HT-Transport (M3)'!$F$93),IF(G166= "Ei", " "))</f>
        <v>#N/A</v>
      </c>
      <c r="M166" s="944"/>
      <c r="N166" s="940"/>
      <c r="O166" s="549" t="e">
        <f t="shared" si="66"/>
        <v>#N/A</v>
      </c>
      <c r="P166" s="549" t="e">
        <f t="shared" si="67"/>
        <v>#N/A</v>
      </c>
      <c r="Q166" s="549" t="e">
        <f t="shared" si="68"/>
        <v>#N/A</v>
      </c>
      <c r="R166" s="549" t="e">
        <f t="shared" si="69"/>
        <v>#N/A</v>
      </c>
      <c r="T166" s="618"/>
      <c r="U166" s="923"/>
      <c r="V166" s="924"/>
      <c r="W166" s="619"/>
      <c r="X166" s="619"/>
      <c r="Y166" s="572" t="s">
        <v>75</v>
      </c>
      <c r="Z166" s="648" t="e">
        <f>IF(Y166="Jah",LOOKUP(U166,'HT-Transport (M3)'!$B$93,'HT-Transport (M3)'!$C$93),IF(Y166="Ei","x "))</f>
        <v>#N/A</v>
      </c>
      <c r="AA166" s="621" t="e">
        <f>IF(Y166="Jah",LOOKUP(U166,'HT-Transport (M3)'!$B$93,'HT-Transport (M3)'!$D$93),IF(Y166="Ei","x "))</f>
        <v>#N/A</v>
      </c>
      <c r="AB166" s="618"/>
      <c r="AC166" s="361"/>
      <c r="AD166" s="939" t="e">
        <f>IF(Y166="Jah", LOOKUP(U166,'HT-Transport (M3)'!$B$93,'HT-Transport (M3)'!$F$93),IF(Y166= "Ei", " "))</f>
        <v>#N/A</v>
      </c>
      <c r="AE166" s="944"/>
      <c r="AF166" s="940"/>
      <c r="AG166" s="549" t="e">
        <f t="shared" si="70"/>
        <v>#N/A</v>
      </c>
      <c r="AH166" s="549" t="e">
        <f t="shared" si="71"/>
        <v>#N/A</v>
      </c>
      <c r="AI166" s="549" t="e">
        <f t="shared" si="72"/>
        <v>#N/A</v>
      </c>
      <c r="AJ166" s="549" t="e">
        <f t="shared" si="73"/>
        <v>#N/A</v>
      </c>
      <c r="AL166" s="618"/>
      <c r="AM166" s="923"/>
      <c r="AN166" s="924"/>
      <c r="AO166" s="619"/>
      <c r="AP166" s="619"/>
      <c r="AQ166" s="572" t="s">
        <v>75</v>
      </c>
      <c r="AR166" s="648" t="e">
        <f>IF(AQ166="Jah",LOOKUP(AM166,'HT-Transport (M3)'!$B$93,'HT-Transport (M3)'!$C$93),IF(AQ166="Ei","x "))</f>
        <v>#N/A</v>
      </c>
      <c r="AS166" s="621" t="e">
        <f>IF(AQ166="Jah",LOOKUP(AM166,'HT-Transport (M3)'!$B$93,'HT-Transport (M3)'!$D$93),IF(AQ166="Ei","x "))</f>
        <v>#N/A</v>
      </c>
      <c r="AT166" s="618"/>
      <c r="AU166" s="361"/>
      <c r="AV166" s="939" t="e">
        <f>IF(AQ166="Jah", LOOKUP(AM166,'HT-Transport (M3)'!$B$93,'HT-Transport (M3)'!$F$93),IF(AQ166= "Ei", " "))</f>
        <v>#N/A</v>
      </c>
      <c r="AW166" s="944"/>
      <c r="AX166" s="940"/>
      <c r="AY166" s="549" t="e">
        <f t="shared" si="74"/>
        <v>#N/A</v>
      </c>
      <c r="AZ166" s="549" t="e">
        <f t="shared" si="75"/>
        <v>#N/A</v>
      </c>
      <c r="BA166" s="549" t="e">
        <f t="shared" si="76"/>
        <v>#N/A</v>
      </c>
      <c r="BB166" s="549" t="e">
        <f t="shared" si="77"/>
        <v>#N/A</v>
      </c>
    </row>
    <row r="167" spans="1:54" ht="15" customHeight="1">
      <c r="A167" s="297"/>
      <c r="B167" s="618"/>
      <c r="C167" s="923"/>
      <c r="D167" s="924"/>
      <c r="E167" s="619"/>
      <c r="F167" s="619"/>
      <c r="G167" s="572" t="s">
        <v>75</v>
      </c>
      <c r="H167" s="648" t="e">
        <f>IF(G167="Jah",LOOKUP(C167,'HT-Transport (M3)'!$B$93,'HT-Transport (M3)'!$C$93),IF(G167="Ei","x "))</f>
        <v>#N/A</v>
      </c>
      <c r="I167" s="621" t="e">
        <f>IF(G167="Jah",LOOKUP(C167,'HT-Transport (M3)'!$B$93,'HT-Transport (M3)'!$D$93),IF(G167="Ei","x "))</f>
        <v>#N/A</v>
      </c>
      <c r="J167" s="618"/>
      <c r="K167" s="361"/>
      <c r="L167" s="939" t="e">
        <f>IF(G167="Jah", LOOKUP(C167,'HT-Transport (M3)'!$B$93,'HT-Transport (M3)'!$F$93),IF(G167= "Ei", " "))</f>
        <v>#N/A</v>
      </c>
      <c r="M167" s="944"/>
      <c r="N167" s="940"/>
      <c r="O167" s="549" t="e">
        <f t="shared" si="66"/>
        <v>#N/A</v>
      </c>
      <c r="P167" s="549" t="e">
        <f t="shared" si="67"/>
        <v>#N/A</v>
      </c>
      <c r="Q167" s="549" t="e">
        <f t="shared" si="68"/>
        <v>#N/A</v>
      </c>
      <c r="R167" s="549" t="e">
        <f t="shared" si="69"/>
        <v>#N/A</v>
      </c>
      <c r="T167" s="618"/>
      <c r="U167" s="923"/>
      <c r="V167" s="924"/>
      <c r="W167" s="619"/>
      <c r="X167" s="619"/>
      <c r="Y167" s="572" t="s">
        <v>75</v>
      </c>
      <c r="Z167" s="648" t="e">
        <f>IF(Y167="Jah",LOOKUP(U167,'HT-Transport (M3)'!$B$93,'HT-Transport (M3)'!$C$93),IF(Y167="Ei","x "))</f>
        <v>#N/A</v>
      </c>
      <c r="AA167" s="621" t="e">
        <f>IF(Y167="Jah",LOOKUP(U167,'HT-Transport (M3)'!$B$93,'HT-Transport (M3)'!$D$93),IF(Y167="Ei","x "))</f>
        <v>#N/A</v>
      </c>
      <c r="AB167" s="618"/>
      <c r="AC167" s="361"/>
      <c r="AD167" s="939" t="e">
        <f>IF(Y167="Jah", LOOKUP(U167,'HT-Transport (M3)'!$B$93,'HT-Transport (M3)'!$F$93),IF(Y167= "Ei", " "))</f>
        <v>#N/A</v>
      </c>
      <c r="AE167" s="944"/>
      <c r="AF167" s="940"/>
      <c r="AG167" s="549" t="e">
        <f t="shared" si="70"/>
        <v>#N/A</v>
      </c>
      <c r="AH167" s="549" t="e">
        <f t="shared" si="71"/>
        <v>#N/A</v>
      </c>
      <c r="AI167" s="549" t="e">
        <f t="shared" si="72"/>
        <v>#N/A</v>
      </c>
      <c r="AJ167" s="549" t="e">
        <f t="shared" si="73"/>
        <v>#N/A</v>
      </c>
      <c r="AL167" s="618"/>
      <c r="AM167" s="923"/>
      <c r="AN167" s="924"/>
      <c r="AO167" s="619"/>
      <c r="AP167" s="619"/>
      <c r="AQ167" s="572" t="s">
        <v>75</v>
      </c>
      <c r="AR167" s="648" t="e">
        <f>IF(AQ167="Jah",LOOKUP(AM167,'HT-Transport (M3)'!$B$93,'HT-Transport (M3)'!$C$93),IF(AQ167="Ei","x "))</f>
        <v>#N/A</v>
      </c>
      <c r="AS167" s="621" t="e">
        <f>IF(AQ167="Jah",LOOKUP(AM167,'HT-Transport (M3)'!$B$93,'HT-Transport (M3)'!$D$93),IF(AQ167="Ei","x "))</f>
        <v>#N/A</v>
      </c>
      <c r="AT167" s="618"/>
      <c r="AU167" s="361"/>
      <c r="AV167" s="939" t="e">
        <f>IF(AQ167="Jah", LOOKUP(AM167,'HT-Transport (M3)'!$B$93,'HT-Transport (M3)'!$F$93),IF(AQ167= "Ei", " "))</f>
        <v>#N/A</v>
      </c>
      <c r="AW167" s="944"/>
      <c r="AX167" s="940"/>
      <c r="AY167" s="549" t="e">
        <f t="shared" si="74"/>
        <v>#N/A</v>
      </c>
      <c r="AZ167" s="549" t="e">
        <f t="shared" si="75"/>
        <v>#N/A</v>
      </c>
      <c r="BA167" s="549" t="e">
        <f t="shared" si="76"/>
        <v>#N/A</v>
      </c>
      <c r="BB167" s="549" t="e">
        <f t="shared" si="77"/>
        <v>#N/A</v>
      </c>
    </row>
    <row r="168" spans="1:54" ht="15" customHeight="1">
      <c r="A168" s="297"/>
      <c r="B168" s="618"/>
      <c r="C168" s="923"/>
      <c r="D168" s="924"/>
      <c r="E168" s="619"/>
      <c r="F168" s="619"/>
      <c r="G168" s="572" t="s">
        <v>75</v>
      </c>
      <c r="H168" s="648" t="e">
        <f>IF(G168="Jah",LOOKUP(C168,'HT-Transport (M3)'!$B$93,'HT-Transport (M3)'!$C$93),IF(G168="Ei","x "))</f>
        <v>#N/A</v>
      </c>
      <c r="I168" s="621" t="e">
        <f>IF(G168="Jah",LOOKUP(C168,'HT-Transport (M3)'!$B$93,'HT-Transport (M3)'!$D$93),IF(G168="Ei","x "))</f>
        <v>#N/A</v>
      </c>
      <c r="J168" s="618"/>
      <c r="K168" s="361"/>
      <c r="L168" s="939" t="e">
        <f>IF(G168="Jah", LOOKUP(C168,'HT-Transport (M3)'!$B$93,'HT-Transport (M3)'!$F$93),IF(G168= "Ei", " "))</f>
        <v>#N/A</v>
      </c>
      <c r="M168" s="944"/>
      <c r="N168" s="940"/>
      <c r="O168" s="549" t="e">
        <f t="shared" si="66"/>
        <v>#N/A</v>
      </c>
      <c r="P168" s="549" t="e">
        <f t="shared" si="67"/>
        <v>#N/A</v>
      </c>
      <c r="Q168" s="549" t="e">
        <f t="shared" si="68"/>
        <v>#N/A</v>
      </c>
      <c r="R168" s="549" t="e">
        <f t="shared" si="69"/>
        <v>#N/A</v>
      </c>
      <c r="T168" s="618"/>
      <c r="U168" s="923"/>
      <c r="V168" s="924"/>
      <c r="W168" s="619"/>
      <c r="X168" s="619"/>
      <c r="Y168" s="572" t="s">
        <v>75</v>
      </c>
      <c r="Z168" s="648" t="e">
        <f>IF(Y168="Jah",LOOKUP(U168,'HT-Transport (M3)'!$B$93,'HT-Transport (M3)'!$C$93),IF(Y168="Ei","x "))</f>
        <v>#N/A</v>
      </c>
      <c r="AA168" s="621" t="e">
        <f>IF(Y168="Jah",LOOKUP(U168,'HT-Transport (M3)'!$B$93,'HT-Transport (M3)'!$D$93),IF(Y168="Ei","x "))</f>
        <v>#N/A</v>
      </c>
      <c r="AB168" s="618"/>
      <c r="AC168" s="361"/>
      <c r="AD168" s="939" t="e">
        <f>IF(Y168="Jah", LOOKUP(U168,'HT-Transport (M3)'!$B$93,'HT-Transport (M3)'!$F$93),IF(Y168= "Ei", " "))</f>
        <v>#N/A</v>
      </c>
      <c r="AE168" s="944"/>
      <c r="AF168" s="940"/>
      <c r="AG168" s="549" t="e">
        <f t="shared" si="70"/>
        <v>#N/A</v>
      </c>
      <c r="AH168" s="549" t="e">
        <f t="shared" si="71"/>
        <v>#N/A</v>
      </c>
      <c r="AI168" s="549" t="e">
        <f t="shared" si="72"/>
        <v>#N/A</v>
      </c>
      <c r="AJ168" s="549" t="e">
        <f t="shared" si="73"/>
        <v>#N/A</v>
      </c>
      <c r="AL168" s="618"/>
      <c r="AM168" s="923"/>
      <c r="AN168" s="924"/>
      <c r="AO168" s="619"/>
      <c r="AP168" s="619"/>
      <c r="AQ168" s="572" t="s">
        <v>75</v>
      </c>
      <c r="AR168" s="648" t="e">
        <f>IF(AQ168="Jah",LOOKUP(AM168,'HT-Transport (M3)'!$B$93,'HT-Transport (M3)'!$C$93),IF(AQ168="Ei","x "))</f>
        <v>#N/A</v>
      </c>
      <c r="AS168" s="621" t="e">
        <f>IF(AQ168="Jah",LOOKUP(AM168,'HT-Transport (M3)'!$B$93,'HT-Transport (M3)'!$D$93),IF(AQ168="Ei","x "))</f>
        <v>#N/A</v>
      </c>
      <c r="AT168" s="618"/>
      <c r="AU168" s="361"/>
      <c r="AV168" s="939" t="e">
        <f>IF(AQ168="Jah", LOOKUP(AM168,'HT-Transport (M3)'!$B$93,'HT-Transport (M3)'!$F$93),IF(AQ168= "Ei", " "))</f>
        <v>#N/A</v>
      </c>
      <c r="AW168" s="944"/>
      <c r="AX168" s="940"/>
      <c r="AY168" s="549" t="e">
        <f t="shared" si="74"/>
        <v>#N/A</v>
      </c>
      <c r="AZ168" s="549" t="e">
        <f t="shared" si="75"/>
        <v>#N/A</v>
      </c>
      <c r="BA168" s="549" t="e">
        <f t="shared" si="76"/>
        <v>#N/A</v>
      </c>
      <c r="BB168" s="549" t="e">
        <f t="shared" si="77"/>
        <v>#N/A</v>
      </c>
    </row>
    <row r="169" spans="1:54" ht="15" customHeight="1">
      <c r="B169" s="618"/>
      <c r="C169" s="923"/>
      <c r="D169" s="924"/>
      <c r="E169" s="619"/>
      <c r="F169" s="619"/>
      <c r="G169" s="572" t="s">
        <v>75</v>
      </c>
      <c r="H169" s="648" t="e">
        <f>IF(G169="Jah",LOOKUP(C169,'HT-Transport (M3)'!$B$93,'HT-Transport (M3)'!$C$93),IF(G169="Ei","x "))</f>
        <v>#N/A</v>
      </c>
      <c r="I169" s="621" t="e">
        <f>IF(G169="Jah",LOOKUP(C169,'HT-Transport (M3)'!$B$93,'HT-Transport (M3)'!$D$93),IF(G169="Ei","x "))</f>
        <v>#N/A</v>
      </c>
      <c r="J169" s="618"/>
      <c r="K169" s="361"/>
      <c r="L169" s="939" t="e">
        <f>IF(G169="Jah", LOOKUP(C169,'HT-Transport (M3)'!$B$93,'HT-Transport (M3)'!$F$93),IF(G169= "Ei", " "))</f>
        <v>#N/A</v>
      </c>
      <c r="M169" s="944"/>
      <c r="N169" s="940"/>
      <c r="O169" s="549" t="e">
        <f t="shared" si="66"/>
        <v>#N/A</v>
      </c>
      <c r="P169" s="549" t="e">
        <f t="shared" si="67"/>
        <v>#N/A</v>
      </c>
      <c r="Q169" s="549" t="e">
        <f t="shared" si="68"/>
        <v>#N/A</v>
      </c>
      <c r="R169" s="549" t="e">
        <f t="shared" si="69"/>
        <v>#N/A</v>
      </c>
      <c r="T169" s="618"/>
      <c r="U169" s="923"/>
      <c r="V169" s="924"/>
      <c r="W169" s="619"/>
      <c r="X169" s="619"/>
      <c r="Y169" s="572" t="s">
        <v>75</v>
      </c>
      <c r="Z169" s="648" t="e">
        <f>IF(Y169="Jah",LOOKUP(U169,'HT-Transport (M3)'!$B$93,'HT-Transport (M3)'!$C$93),IF(Y169="Ei","x "))</f>
        <v>#N/A</v>
      </c>
      <c r="AA169" s="621" t="e">
        <f>IF(Y169="Jah",LOOKUP(U169,'HT-Transport (M3)'!$B$93,'HT-Transport (M3)'!$D$93),IF(Y169="Ei","x "))</f>
        <v>#N/A</v>
      </c>
      <c r="AB169" s="618"/>
      <c r="AC169" s="361"/>
      <c r="AD169" s="939" t="e">
        <f>IF(Y169="Jah", LOOKUP(U169,'HT-Transport (M3)'!$B$93,'HT-Transport (M3)'!$F$93),IF(Y169= "Ei", " "))</f>
        <v>#N/A</v>
      </c>
      <c r="AE169" s="944"/>
      <c r="AF169" s="940"/>
      <c r="AG169" s="549" t="e">
        <f t="shared" si="70"/>
        <v>#N/A</v>
      </c>
      <c r="AH169" s="549" t="e">
        <f t="shared" si="71"/>
        <v>#N/A</v>
      </c>
      <c r="AI169" s="549" t="e">
        <f t="shared" si="72"/>
        <v>#N/A</v>
      </c>
      <c r="AJ169" s="549" t="e">
        <f t="shared" si="73"/>
        <v>#N/A</v>
      </c>
      <c r="AL169" s="618"/>
      <c r="AM169" s="923"/>
      <c r="AN169" s="924"/>
      <c r="AO169" s="619"/>
      <c r="AP169" s="619"/>
      <c r="AQ169" s="572" t="s">
        <v>75</v>
      </c>
      <c r="AR169" s="648" t="e">
        <f>IF(AQ169="Jah",LOOKUP(AM169,'HT-Transport (M3)'!$B$93,'HT-Transport (M3)'!$C$93),IF(AQ169="Ei","x "))</f>
        <v>#N/A</v>
      </c>
      <c r="AS169" s="621" t="e">
        <f>IF(AQ169="Jah",LOOKUP(AM169,'HT-Transport (M3)'!$B$93,'HT-Transport (M3)'!$D$93),IF(AQ169="Ei","x "))</f>
        <v>#N/A</v>
      </c>
      <c r="AT169" s="618"/>
      <c r="AU169" s="361"/>
      <c r="AV169" s="939" t="e">
        <f>IF(AQ169="Jah", LOOKUP(AM169,'HT-Transport (M3)'!$B$93,'HT-Transport (M3)'!$F$93),IF(AQ169= "Ei", " "))</f>
        <v>#N/A</v>
      </c>
      <c r="AW169" s="944"/>
      <c r="AX169" s="940"/>
      <c r="AY169" s="549" t="e">
        <f t="shared" si="74"/>
        <v>#N/A</v>
      </c>
      <c r="AZ169" s="549" t="e">
        <f t="shared" si="75"/>
        <v>#N/A</v>
      </c>
      <c r="BA169" s="549" t="e">
        <f t="shared" si="76"/>
        <v>#N/A</v>
      </c>
      <c r="BB169" s="549" t="e">
        <f t="shared" si="77"/>
        <v>#N/A</v>
      </c>
    </row>
    <row r="170" spans="1:54" ht="15" customHeight="1">
      <c r="B170" s="618"/>
      <c r="C170" s="923"/>
      <c r="D170" s="924"/>
      <c r="E170" s="619"/>
      <c r="F170" s="619"/>
      <c r="G170" s="572" t="s">
        <v>75</v>
      </c>
      <c r="H170" s="648" t="e">
        <f>IF(G170="Jah",LOOKUP(C170,'HT-Transport (M3)'!$B$93,'HT-Transport (M3)'!$C$93),IF(G170="Ei","x "))</f>
        <v>#N/A</v>
      </c>
      <c r="I170" s="621" t="e">
        <f>IF(G170="Jah",LOOKUP(C170,'HT-Transport (M3)'!$B$93,'HT-Transport (M3)'!$D$93),IF(G170="Ei","x "))</f>
        <v>#N/A</v>
      </c>
      <c r="J170" s="618"/>
      <c r="K170" s="361"/>
      <c r="L170" s="939" t="e">
        <f>IF(G170="Jah", LOOKUP(C170,'HT-Transport (M3)'!$B$93,'HT-Transport (M3)'!$F$93),IF(G170= "Ei", " "))</f>
        <v>#N/A</v>
      </c>
      <c r="M170" s="944"/>
      <c r="N170" s="940"/>
      <c r="O170" s="549" t="e">
        <f t="shared" si="66"/>
        <v>#N/A</v>
      </c>
      <c r="P170" s="549" t="e">
        <f t="shared" si="67"/>
        <v>#N/A</v>
      </c>
      <c r="Q170" s="549" t="e">
        <f t="shared" si="68"/>
        <v>#N/A</v>
      </c>
      <c r="R170" s="549" t="e">
        <f t="shared" si="69"/>
        <v>#N/A</v>
      </c>
      <c r="T170" s="618"/>
      <c r="U170" s="923"/>
      <c r="V170" s="924"/>
      <c r="W170" s="619"/>
      <c r="X170" s="619"/>
      <c r="Y170" s="572" t="s">
        <v>75</v>
      </c>
      <c r="Z170" s="648" t="e">
        <f>IF(Y170="Jah",LOOKUP(U170,'HT-Transport (M3)'!$B$93,'HT-Transport (M3)'!$C$93),IF(Y170="Ei","x "))</f>
        <v>#N/A</v>
      </c>
      <c r="AA170" s="621" t="e">
        <f>IF(Y170="Jah",LOOKUP(U170,'HT-Transport (M3)'!$B$93,'HT-Transport (M3)'!$D$93),IF(Y170="Ei","x "))</f>
        <v>#N/A</v>
      </c>
      <c r="AB170" s="618"/>
      <c r="AC170" s="361"/>
      <c r="AD170" s="939" t="e">
        <f>IF(Y170="Jah", LOOKUP(U170,'HT-Transport (M3)'!$B$93,'HT-Transport (M3)'!$F$93),IF(Y170= "Ei", " "))</f>
        <v>#N/A</v>
      </c>
      <c r="AE170" s="944"/>
      <c r="AF170" s="940"/>
      <c r="AG170" s="549" t="e">
        <f t="shared" si="70"/>
        <v>#N/A</v>
      </c>
      <c r="AH170" s="549" t="e">
        <f t="shared" si="71"/>
        <v>#N/A</v>
      </c>
      <c r="AI170" s="549" t="e">
        <f t="shared" si="72"/>
        <v>#N/A</v>
      </c>
      <c r="AJ170" s="549" t="e">
        <f t="shared" si="73"/>
        <v>#N/A</v>
      </c>
      <c r="AL170" s="618"/>
      <c r="AM170" s="923"/>
      <c r="AN170" s="924"/>
      <c r="AO170" s="619"/>
      <c r="AP170" s="619"/>
      <c r="AQ170" s="572" t="s">
        <v>75</v>
      </c>
      <c r="AR170" s="648" t="e">
        <f>IF(AQ170="Jah",LOOKUP(AM170,'HT-Transport (M3)'!$B$93,'HT-Transport (M3)'!$C$93),IF(AQ170="Ei","x "))</f>
        <v>#N/A</v>
      </c>
      <c r="AS170" s="621" t="e">
        <f>IF(AQ170="Jah",LOOKUP(AM170,'HT-Transport (M3)'!$B$93,'HT-Transport (M3)'!$D$93),IF(AQ170="Ei","x "))</f>
        <v>#N/A</v>
      </c>
      <c r="AT170" s="618"/>
      <c r="AU170" s="361"/>
      <c r="AV170" s="939" t="e">
        <f>IF(AQ170="Jah", LOOKUP(AM170,'HT-Transport (M3)'!$B$93,'HT-Transport (M3)'!$F$93),IF(AQ170= "Ei", " "))</f>
        <v>#N/A</v>
      </c>
      <c r="AW170" s="944"/>
      <c r="AX170" s="940"/>
      <c r="AY170" s="549" t="e">
        <f t="shared" si="74"/>
        <v>#N/A</v>
      </c>
      <c r="AZ170" s="549" t="e">
        <f t="shared" si="75"/>
        <v>#N/A</v>
      </c>
      <c r="BA170" s="549" t="e">
        <f t="shared" si="76"/>
        <v>#N/A</v>
      </c>
      <c r="BB170" s="549" t="e">
        <f t="shared" si="77"/>
        <v>#N/A</v>
      </c>
    </row>
    <row r="171" spans="1:54" ht="15" customHeight="1">
      <c r="B171" s="618"/>
      <c r="C171" s="923"/>
      <c r="D171" s="924"/>
      <c r="E171" s="619"/>
      <c r="F171" s="619"/>
      <c r="G171" s="572" t="s">
        <v>75</v>
      </c>
      <c r="H171" s="648" t="e">
        <f>IF(G171="Jah",LOOKUP(C171,'HT-Transport (M3)'!$B$93,'HT-Transport (M3)'!$C$93),IF(G171="Ei","x "))</f>
        <v>#N/A</v>
      </c>
      <c r="I171" s="621" t="e">
        <f>IF(G171="Jah",LOOKUP(C171,'HT-Transport (M3)'!$B$93,'HT-Transport (M3)'!$D$93),IF(G171="Ei","x "))</f>
        <v>#N/A</v>
      </c>
      <c r="J171" s="618"/>
      <c r="K171" s="361"/>
      <c r="L171" s="939" t="e">
        <f>IF(G171="Jah", LOOKUP(C171,'HT-Transport (M3)'!$B$93,'HT-Transport (M3)'!$F$93),IF(G171= "Ei", " "))</f>
        <v>#N/A</v>
      </c>
      <c r="M171" s="944"/>
      <c r="N171" s="940"/>
      <c r="O171" s="549" t="e">
        <f>IF(G171="Jah",E171*F171*H171, IF(G171="Ei",E171*F171*J171))</f>
        <v>#N/A</v>
      </c>
      <c r="P171" s="549" t="e">
        <f t="shared" si="67"/>
        <v>#N/A</v>
      </c>
      <c r="Q171" s="549" t="e">
        <f t="shared" si="68"/>
        <v>#N/A</v>
      </c>
      <c r="R171" s="549" t="e">
        <f t="shared" si="69"/>
        <v>#N/A</v>
      </c>
      <c r="T171" s="618"/>
      <c r="U171" s="923"/>
      <c r="V171" s="924"/>
      <c r="W171" s="619"/>
      <c r="X171" s="619"/>
      <c r="Y171" s="572" t="s">
        <v>75</v>
      </c>
      <c r="Z171" s="648" t="e">
        <f>IF(Y171="Jah",LOOKUP(U171,'HT-Transport (M3)'!$B$93,'HT-Transport (M3)'!$C$93),IF(Y171="Ei","x "))</f>
        <v>#N/A</v>
      </c>
      <c r="AA171" s="621" t="e">
        <f>IF(Y171="Jah",LOOKUP(U171,'HT-Transport (M3)'!$B$93,'HT-Transport (M3)'!$D$93),IF(Y171="Ei","x "))</f>
        <v>#N/A</v>
      </c>
      <c r="AB171" s="618"/>
      <c r="AC171" s="361"/>
      <c r="AD171" s="939" t="e">
        <f>IF(Y171="Jah", LOOKUP(U171,'HT-Transport (M3)'!$B$93,'HT-Transport (M3)'!$F$93),IF(Y171= "Ei", " "))</f>
        <v>#N/A</v>
      </c>
      <c r="AE171" s="944"/>
      <c r="AF171" s="940"/>
      <c r="AG171" s="549" t="e">
        <f>IF(Y171="Jah",W171*X171*Z171, IF(Y171="Ei",W171*X171*AB171))</f>
        <v>#N/A</v>
      </c>
      <c r="AH171" s="549" t="e">
        <f t="shared" si="71"/>
        <v>#N/A</v>
      </c>
      <c r="AI171" s="549" t="e">
        <f t="shared" si="72"/>
        <v>#N/A</v>
      </c>
      <c r="AJ171" s="549" t="e">
        <f t="shared" si="73"/>
        <v>#N/A</v>
      </c>
      <c r="AL171" s="618"/>
      <c r="AM171" s="923"/>
      <c r="AN171" s="924"/>
      <c r="AO171" s="619"/>
      <c r="AP171" s="619"/>
      <c r="AQ171" s="572" t="s">
        <v>75</v>
      </c>
      <c r="AR171" s="648" t="e">
        <f>IF(AQ171="Jah",LOOKUP(AM171,'HT-Transport (M3)'!$B$93,'HT-Transport (M3)'!$C$93),IF(AQ171="Ei","x "))</f>
        <v>#N/A</v>
      </c>
      <c r="AS171" s="621" t="e">
        <f>IF(AQ171="Jah",LOOKUP(AM171,'HT-Transport (M3)'!$B$93,'HT-Transport (M3)'!$D$93),IF(AQ171="Ei","x "))</f>
        <v>#N/A</v>
      </c>
      <c r="AT171" s="618"/>
      <c r="AU171" s="361"/>
      <c r="AV171" s="939" t="e">
        <f>IF(AQ171="Jah", LOOKUP(AM171,'HT-Transport (M3)'!$B$93,'HT-Transport (M3)'!$F$93),IF(AQ171= "Ei", " "))</f>
        <v>#N/A</v>
      </c>
      <c r="AW171" s="944"/>
      <c r="AX171" s="940"/>
      <c r="AY171" s="549" t="e">
        <f>IF(AQ171="Jah",AO171*AP171*AR171, IF(AQ171="Ei",AO171*AP171*AT171))</f>
        <v>#N/A</v>
      </c>
      <c r="AZ171" s="549" t="e">
        <f t="shared" si="75"/>
        <v>#N/A</v>
      </c>
      <c r="BA171" s="549" t="e">
        <f t="shared" si="76"/>
        <v>#N/A</v>
      </c>
      <c r="BB171" s="549" t="e">
        <f t="shared" si="77"/>
        <v>#N/A</v>
      </c>
    </row>
    <row r="172" spans="1:54" ht="15" customHeight="1">
      <c r="B172" s="625"/>
      <c r="C172" s="626"/>
      <c r="D172" s="626"/>
      <c r="E172" s="626"/>
      <c r="F172" s="643"/>
      <c r="G172" s="626"/>
      <c r="H172" s="643"/>
      <c r="I172" s="643"/>
      <c r="J172" s="643"/>
      <c r="K172" s="643"/>
      <c r="L172" s="626"/>
      <c r="M172" s="626"/>
      <c r="N172" s="592" t="s">
        <v>1592</v>
      </c>
      <c r="O172" s="594">
        <f>SUMIF(O162:O171,"&lt;&gt;#N/A")</f>
        <v>0</v>
      </c>
      <c r="P172" s="594">
        <f>SUMIF(P162:P171,"&lt;&gt;#N/A")</f>
        <v>0</v>
      </c>
      <c r="Q172" s="594">
        <f>SUMIF(Q162:Q171,"&lt;&gt;#N/A")</f>
        <v>0</v>
      </c>
      <c r="R172" s="594">
        <f>SUMIF(R162:R171,"&lt;&gt;#N/A")</f>
        <v>0</v>
      </c>
      <c r="T172" s="625"/>
      <c r="U172" s="626"/>
      <c r="V172" s="626"/>
      <c r="W172" s="626"/>
      <c r="X172" s="643"/>
      <c r="Y172" s="626"/>
      <c r="Z172" s="643"/>
      <c r="AA172" s="643"/>
      <c r="AB172" s="643"/>
      <c r="AC172" s="643"/>
      <c r="AD172" s="626"/>
      <c r="AE172" s="626"/>
      <c r="AF172" s="592" t="s">
        <v>1592</v>
      </c>
      <c r="AG172" s="594">
        <f>SUMIF(AG162:AG171,"&lt;&gt;#N/A")</f>
        <v>0</v>
      </c>
      <c r="AH172" s="594">
        <f>SUMIF(AH162:AH171,"&lt;&gt;#N/A")</f>
        <v>0</v>
      </c>
      <c r="AI172" s="594">
        <f>SUMIF(AI162:AI171,"&lt;&gt;#N/A")</f>
        <v>0</v>
      </c>
      <c r="AJ172" s="594">
        <f>SUMIF(AJ162:AJ171,"&lt;&gt;#N/A")</f>
        <v>0</v>
      </c>
      <c r="AL172" s="625"/>
      <c r="AM172" s="626"/>
      <c r="AN172" s="626"/>
      <c r="AO172" s="626"/>
      <c r="AP172" s="643"/>
      <c r="AQ172" s="626"/>
      <c r="AR172" s="643"/>
      <c r="AS172" s="643"/>
      <c r="AT172" s="643"/>
      <c r="AU172" s="643"/>
      <c r="AV172" s="626"/>
      <c r="AW172" s="626"/>
      <c r="AX172" s="592" t="s">
        <v>1592</v>
      </c>
      <c r="AY172" s="594">
        <f>SUMIF(AY162:AY171,"&lt;&gt;#N/A")</f>
        <v>0</v>
      </c>
      <c r="AZ172" s="594">
        <f>SUMIF(AZ162:AZ171,"&lt;&gt;#N/A")</f>
        <v>0</v>
      </c>
      <c r="BA172" s="594">
        <f>SUMIF(BA162:BA171,"&lt;&gt;#N/A")</f>
        <v>0</v>
      </c>
      <c r="BB172" s="594">
        <f>SUMIF(BB162:BB171,"&lt;&gt;#N/A")</f>
        <v>0</v>
      </c>
    </row>
    <row r="173" spans="1:54" ht="15" customHeight="1">
      <c r="I173" s="365"/>
      <c r="K173" s="636"/>
      <c r="L173" s="636"/>
      <c r="M173" s="636"/>
      <c r="X173" s="365"/>
      <c r="Z173" s="365"/>
      <c r="AA173" s="365"/>
      <c r="AC173" s="636"/>
      <c r="AD173" s="636"/>
      <c r="AE173" s="636"/>
      <c r="AP173" s="365"/>
      <c r="AR173" s="365"/>
      <c r="AS173" s="365"/>
      <c r="AU173" s="636"/>
      <c r="AV173" s="636"/>
      <c r="AW173" s="636"/>
    </row>
    <row r="174" spans="1:54" ht="15" customHeight="1">
      <c r="I174" s="365"/>
      <c r="K174" s="636"/>
      <c r="X174" s="365"/>
      <c r="Z174" s="365"/>
      <c r="AA174" s="365"/>
      <c r="AC174" s="636"/>
      <c r="AP174" s="365"/>
      <c r="AR174" s="365"/>
      <c r="AS174" s="365"/>
      <c r="AU174" s="636"/>
    </row>
    <row r="175" spans="1:54" ht="15" customHeight="1">
      <c r="B175" s="308" t="s">
        <v>1632</v>
      </c>
      <c r="C175" s="543"/>
      <c r="D175" s="543"/>
      <c r="E175" s="543"/>
      <c r="F175" s="617"/>
      <c r="G175" s="543"/>
      <c r="H175" s="617"/>
      <c r="I175" s="543"/>
      <c r="J175" s="543"/>
      <c r="K175" s="543"/>
      <c r="L175" s="543"/>
      <c r="M175" s="544"/>
      <c r="T175" s="308" t="s">
        <v>1632</v>
      </c>
      <c r="U175" s="543"/>
      <c r="V175" s="543"/>
      <c r="W175" s="543"/>
      <c r="X175" s="617"/>
      <c r="Y175" s="543"/>
      <c r="Z175" s="617"/>
      <c r="AA175" s="543"/>
      <c r="AB175" s="543"/>
      <c r="AC175" s="543"/>
      <c r="AD175" s="543"/>
      <c r="AE175" s="544"/>
      <c r="AL175" s="308" t="s">
        <v>1632</v>
      </c>
      <c r="AM175" s="543"/>
      <c r="AN175" s="543"/>
      <c r="AO175" s="543"/>
      <c r="AP175" s="617"/>
      <c r="AQ175" s="543"/>
      <c r="AR175" s="617"/>
      <c r="AS175" s="543"/>
      <c r="AT175" s="543"/>
      <c r="AU175" s="543"/>
      <c r="AV175" s="543"/>
      <c r="AW175" s="544"/>
    </row>
    <row r="176" spans="1:54" ht="15" customHeight="1">
      <c r="B176" s="308" t="s">
        <v>1631</v>
      </c>
      <c r="C176" s="543"/>
      <c r="D176" s="543"/>
      <c r="E176" s="543"/>
      <c r="F176" s="617"/>
      <c r="G176" s="543"/>
      <c r="H176" s="617"/>
      <c r="I176" s="543"/>
      <c r="J176" s="543"/>
      <c r="K176" s="543"/>
      <c r="L176" s="543"/>
      <c r="M176" s="544"/>
      <c r="T176" s="308" t="s">
        <v>1631</v>
      </c>
      <c r="U176" s="543"/>
      <c r="V176" s="543"/>
      <c r="W176" s="543"/>
      <c r="X176" s="617"/>
      <c r="Y176" s="543"/>
      <c r="Z176" s="617"/>
      <c r="AA176" s="543"/>
      <c r="AB176" s="543"/>
      <c r="AC176" s="543"/>
      <c r="AD176" s="543"/>
      <c r="AE176" s="544"/>
      <c r="AL176" s="308" t="s">
        <v>1631</v>
      </c>
      <c r="AM176" s="543"/>
      <c r="AN176" s="543"/>
      <c r="AO176" s="543"/>
      <c r="AP176" s="617"/>
      <c r="AQ176" s="543"/>
      <c r="AR176" s="617"/>
      <c r="AS176" s="543"/>
      <c r="AT176" s="543"/>
      <c r="AU176" s="543"/>
      <c r="AV176" s="543"/>
      <c r="AW176" s="544"/>
    </row>
    <row r="177" spans="1:50" ht="15" customHeight="1">
      <c r="B177" s="925" t="s">
        <v>57</v>
      </c>
      <c r="C177" s="908" t="s">
        <v>1463</v>
      </c>
      <c r="D177" s="909"/>
      <c r="E177" s="925" t="s">
        <v>111</v>
      </c>
      <c r="F177" s="914" t="s">
        <v>107</v>
      </c>
      <c r="G177" s="908" t="s">
        <v>68</v>
      </c>
      <c r="H177" s="914" t="s">
        <v>69</v>
      </c>
      <c r="I177" s="914" t="s">
        <v>70</v>
      </c>
      <c r="J177" s="941" t="s">
        <v>71</v>
      </c>
      <c r="K177" s="909"/>
      <c r="L177" s="916" t="s">
        <v>86</v>
      </c>
      <c r="M177" s="917"/>
      <c r="T177" s="925" t="s">
        <v>57</v>
      </c>
      <c r="U177" s="908" t="s">
        <v>1463</v>
      </c>
      <c r="V177" s="909"/>
      <c r="W177" s="914" t="s">
        <v>109</v>
      </c>
      <c r="X177" s="914" t="s">
        <v>107</v>
      </c>
      <c r="Y177" s="908" t="s">
        <v>68</v>
      </c>
      <c r="Z177" s="914" t="s">
        <v>69</v>
      </c>
      <c r="AA177" s="914" t="s">
        <v>70</v>
      </c>
      <c r="AB177" s="941" t="s">
        <v>71</v>
      </c>
      <c r="AC177" s="909"/>
      <c r="AD177" s="916" t="s">
        <v>86</v>
      </c>
      <c r="AE177" s="917"/>
      <c r="AL177" s="925" t="s">
        <v>57</v>
      </c>
      <c r="AM177" s="908" t="s">
        <v>1463</v>
      </c>
      <c r="AN177" s="909"/>
      <c r="AO177" s="914" t="s">
        <v>109</v>
      </c>
      <c r="AP177" s="914" t="s">
        <v>107</v>
      </c>
      <c r="AQ177" s="908" t="s">
        <v>68</v>
      </c>
      <c r="AR177" s="914" t="s">
        <v>69</v>
      </c>
      <c r="AS177" s="914" t="s">
        <v>70</v>
      </c>
      <c r="AT177" s="941" t="s">
        <v>71</v>
      </c>
      <c r="AU177" s="909"/>
      <c r="AV177" s="916" t="s">
        <v>86</v>
      </c>
      <c r="AW177" s="917"/>
    </row>
    <row r="178" spans="1:50" ht="15" customHeight="1">
      <c r="B178" s="926"/>
      <c r="C178" s="928"/>
      <c r="D178" s="929"/>
      <c r="E178" s="926"/>
      <c r="F178" s="915"/>
      <c r="G178" s="928"/>
      <c r="H178" s="915"/>
      <c r="I178" s="915"/>
      <c r="J178" s="942"/>
      <c r="K178" s="929"/>
      <c r="L178" s="918"/>
      <c r="M178" s="919"/>
      <c r="N178" s="649"/>
      <c r="T178" s="926"/>
      <c r="U178" s="928"/>
      <c r="V178" s="929"/>
      <c r="W178" s="915"/>
      <c r="X178" s="915"/>
      <c r="Y178" s="928"/>
      <c r="Z178" s="915"/>
      <c r="AA178" s="915"/>
      <c r="AB178" s="942"/>
      <c r="AC178" s="929"/>
      <c r="AD178" s="918"/>
      <c r="AE178" s="919"/>
      <c r="AF178" s="649"/>
      <c r="AL178" s="926"/>
      <c r="AM178" s="928"/>
      <c r="AN178" s="929"/>
      <c r="AO178" s="915"/>
      <c r="AP178" s="915"/>
      <c r="AQ178" s="928"/>
      <c r="AR178" s="915"/>
      <c r="AS178" s="915"/>
      <c r="AT178" s="942"/>
      <c r="AU178" s="929"/>
      <c r="AV178" s="918"/>
      <c r="AW178" s="919"/>
      <c r="AX178" s="649"/>
    </row>
    <row r="179" spans="1:50" ht="15" customHeight="1">
      <c r="B179" s="926"/>
      <c r="C179" s="928"/>
      <c r="D179" s="929"/>
      <c r="E179" s="926"/>
      <c r="F179" s="915"/>
      <c r="G179" s="910"/>
      <c r="H179" s="922"/>
      <c r="I179" s="922"/>
      <c r="J179" s="942"/>
      <c r="K179" s="929"/>
      <c r="L179" s="920"/>
      <c r="M179" s="921"/>
      <c r="N179" s="649"/>
      <c r="T179" s="926"/>
      <c r="U179" s="928"/>
      <c r="V179" s="929"/>
      <c r="W179" s="915"/>
      <c r="X179" s="915"/>
      <c r="Y179" s="910"/>
      <c r="Z179" s="922"/>
      <c r="AA179" s="922"/>
      <c r="AB179" s="942"/>
      <c r="AC179" s="929"/>
      <c r="AD179" s="920"/>
      <c r="AE179" s="921"/>
      <c r="AF179" s="649"/>
      <c r="AL179" s="926"/>
      <c r="AM179" s="928"/>
      <c r="AN179" s="929"/>
      <c r="AO179" s="915"/>
      <c r="AP179" s="915"/>
      <c r="AQ179" s="910"/>
      <c r="AR179" s="922"/>
      <c r="AS179" s="922"/>
      <c r="AT179" s="942"/>
      <c r="AU179" s="929"/>
      <c r="AV179" s="920"/>
      <c r="AW179" s="921"/>
      <c r="AX179" s="649"/>
    </row>
    <row r="180" spans="1:50" ht="15" customHeight="1">
      <c r="B180" s="927"/>
      <c r="C180" s="910"/>
      <c r="D180" s="911"/>
      <c r="E180" s="927"/>
      <c r="F180" s="922"/>
      <c r="G180" s="571" t="s">
        <v>73</v>
      </c>
      <c r="H180" s="910" t="s">
        <v>2110</v>
      </c>
      <c r="I180" s="943"/>
      <c r="J180" s="910"/>
      <c r="K180" s="911"/>
      <c r="L180" s="650" t="s">
        <v>2085</v>
      </c>
      <c r="M180" s="545" t="s">
        <v>2086</v>
      </c>
      <c r="N180" s="514"/>
      <c r="T180" s="927"/>
      <c r="U180" s="910"/>
      <c r="V180" s="911"/>
      <c r="W180" s="922"/>
      <c r="X180" s="922"/>
      <c r="Y180" s="571" t="s">
        <v>73</v>
      </c>
      <c r="Z180" s="910" t="s">
        <v>2110</v>
      </c>
      <c r="AA180" s="943"/>
      <c r="AB180" s="910"/>
      <c r="AC180" s="911"/>
      <c r="AD180" s="650" t="s">
        <v>2085</v>
      </c>
      <c r="AE180" s="545" t="s">
        <v>2086</v>
      </c>
      <c r="AF180" s="514"/>
      <c r="AL180" s="927"/>
      <c r="AM180" s="910"/>
      <c r="AN180" s="911"/>
      <c r="AO180" s="922"/>
      <c r="AP180" s="922"/>
      <c r="AQ180" s="571" t="s">
        <v>73</v>
      </c>
      <c r="AR180" s="910" t="s">
        <v>2110</v>
      </c>
      <c r="AS180" s="943"/>
      <c r="AT180" s="910"/>
      <c r="AU180" s="911"/>
      <c r="AV180" s="650" t="s">
        <v>2085</v>
      </c>
      <c r="AW180" s="545" t="s">
        <v>2086</v>
      </c>
      <c r="AX180" s="514"/>
    </row>
    <row r="181" spans="1:50" ht="15" customHeight="1">
      <c r="B181" s="618">
        <v>1</v>
      </c>
      <c r="C181" s="923" t="s">
        <v>360</v>
      </c>
      <c r="D181" s="924"/>
      <c r="E181" s="619">
        <v>600</v>
      </c>
      <c r="F181" s="619">
        <v>1000</v>
      </c>
      <c r="G181" s="572" t="s">
        <v>75</v>
      </c>
      <c r="H181" s="621">
        <f>IF(G181="Jah",LOOKUP(C181,'HT-Transport (M3)'!$B$97:$B$109,'HT-Transport (M3)'!$C$97:$C$109),IF(G181="Ei","x "))</f>
        <v>8.2000000000000003E-2</v>
      </c>
      <c r="I181" s="618"/>
      <c r="J181" s="939" t="str">
        <f>IF(G181="Jah", LOOKUP(C181,'HT-Transport (M3)'!$B$97:$B$109,'HT-Transport (M3)'!$E$97:$E$109),IF(G181= "Ei", " "))</f>
        <v>LIPASTO</v>
      </c>
      <c r="K181" s="940"/>
      <c r="L181" s="549">
        <f>IF(G181="Jah",E181*F181*H181, IF(G181="Ei",E181*F181*I181))</f>
        <v>49200</v>
      </c>
      <c r="M181" s="549">
        <f>L181*0.001</f>
        <v>49.2</v>
      </c>
      <c r="N181" s="293"/>
      <c r="T181" s="618"/>
      <c r="U181" s="923"/>
      <c r="V181" s="924"/>
      <c r="W181" s="619"/>
      <c r="X181" s="619"/>
      <c r="Y181" s="572" t="s">
        <v>75</v>
      </c>
      <c r="Z181" s="621" t="e">
        <f>IF(Y181="Jah",LOOKUP(U181,'HT-Transport (M3)'!$B$97:$B$109,'HT-Transport (M3)'!$C$97:$C$109),IF(Y181="Ei","x "))</f>
        <v>#N/A</v>
      </c>
      <c r="AA181" s="618"/>
      <c r="AB181" s="939" t="e">
        <f>IF(Y181="Jah", LOOKUP(U181,'HT-Transport (M3)'!$B$97:$B$109,'HT-Transport (M3)'!$E$97:$E$109),IF(Y181= "Ei", " "))</f>
        <v>#N/A</v>
      </c>
      <c r="AC181" s="940"/>
      <c r="AD181" s="549" t="e">
        <f>IF(Y181="Jah",W181*X181*Z181, IF(Y181="Ei",W181*X181*AA181))</f>
        <v>#N/A</v>
      </c>
      <c r="AE181" s="549" t="e">
        <f>AD181*0.001</f>
        <v>#N/A</v>
      </c>
      <c r="AF181" s="293"/>
      <c r="AL181" s="618"/>
      <c r="AM181" s="923"/>
      <c r="AN181" s="924"/>
      <c r="AO181" s="619"/>
      <c r="AP181" s="619"/>
      <c r="AQ181" s="572" t="s">
        <v>75</v>
      </c>
      <c r="AR181" s="621" t="e">
        <f>IF(AQ181="Jah",LOOKUP(AM181,'HT-Transport (M3)'!$B$97:$B$109,'HT-Transport (M3)'!$C$97:$C$109),IF(AQ181="Ei","x "))</f>
        <v>#N/A</v>
      </c>
      <c r="AS181" s="618"/>
      <c r="AT181" s="939" t="e">
        <f>IF(AQ181="Jah", LOOKUP(AM181,'HT-Transport (M3)'!$B$97:$B$109,'HT-Transport (M3)'!$E$97:$E$109),IF(AQ181= "Ei", " "))</f>
        <v>#N/A</v>
      </c>
      <c r="AU181" s="940"/>
      <c r="AV181" s="549" t="e">
        <f>IF(AQ181="Jah",AO181*AP181*AR181, IF(AQ181="Ei",AO181*AP181*AS181))</f>
        <v>#N/A</v>
      </c>
      <c r="AW181" s="549" t="e">
        <f>AV181*0.001</f>
        <v>#N/A</v>
      </c>
      <c r="AX181" s="293"/>
    </row>
    <row r="182" spans="1:50" ht="15" customHeight="1">
      <c r="B182" s="618"/>
      <c r="C182" s="923"/>
      <c r="D182" s="924"/>
      <c r="E182" s="619"/>
      <c r="F182" s="619"/>
      <c r="G182" s="572" t="s">
        <v>75</v>
      </c>
      <c r="H182" s="621" t="e">
        <f>IF(G182="Jah",LOOKUP(C182,'HT-Transport (M3)'!$B$97:$B$109,'HT-Transport (M3)'!$C$97:$C$109),IF(G182="Ei","x "))</f>
        <v>#N/A</v>
      </c>
      <c r="I182" s="618"/>
      <c r="J182" s="939" t="e">
        <f>IF(G182="Jah", LOOKUP(C182,'HT-Transport (M3)'!$B$97:$B$109,'HT-Transport (M3)'!$E$97:$E$109),IF(G182= "Ei", " "))</f>
        <v>#N/A</v>
      </c>
      <c r="K182" s="940"/>
      <c r="L182" s="549" t="e">
        <f t="shared" ref="L182:L190" si="78">IF(G182="Jah",E182*F182*H182, IF(G182="Ei",E182*F182*I182))</f>
        <v>#N/A</v>
      </c>
      <c r="M182" s="549" t="e">
        <f t="shared" ref="M182:M190" si="79">L182*0.001</f>
        <v>#N/A</v>
      </c>
      <c r="N182" s="293"/>
      <c r="T182" s="618"/>
      <c r="U182" s="923"/>
      <c r="V182" s="924"/>
      <c r="W182" s="619"/>
      <c r="X182" s="619"/>
      <c r="Y182" s="572" t="s">
        <v>75</v>
      </c>
      <c r="Z182" s="621" t="e">
        <f>IF(Y182="Jah",LOOKUP(U182,'HT-Transport (M3)'!$B$97:$B$109,'HT-Transport (M3)'!$C$97:$C$109),IF(Y182="Ei","x "))</f>
        <v>#N/A</v>
      </c>
      <c r="AA182" s="618"/>
      <c r="AB182" s="939" t="e">
        <f>IF(Y182="Jah", LOOKUP(U182,'HT-Transport (M3)'!$B$97:$B$109,'HT-Transport (M3)'!$E$97:$E$109),IF(Y182= "Ei", " "))</f>
        <v>#N/A</v>
      </c>
      <c r="AC182" s="940"/>
      <c r="AD182" s="549" t="e">
        <f t="shared" ref="AD182:AD190" si="80">IF(Y182="Jah",W182*X182*Z182, IF(Y182="Ei",W182*X182*AA182))</f>
        <v>#N/A</v>
      </c>
      <c r="AE182" s="549" t="e">
        <f t="shared" ref="AE182:AE190" si="81">AD182*0.001</f>
        <v>#N/A</v>
      </c>
      <c r="AF182" s="293"/>
      <c r="AL182" s="618"/>
      <c r="AM182" s="923"/>
      <c r="AN182" s="924"/>
      <c r="AO182" s="619"/>
      <c r="AP182" s="619"/>
      <c r="AQ182" s="572" t="s">
        <v>75</v>
      </c>
      <c r="AR182" s="621" t="e">
        <f>IF(AQ182="Jah",LOOKUP(AM182,'HT-Transport (M3)'!$B$97:$B$109,'HT-Transport (M3)'!$C$97:$C$109),IF(AQ182="Ei","x "))</f>
        <v>#N/A</v>
      </c>
      <c r="AS182" s="618"/>
      <c r="AT182" s="939" t="e">
        <f>IF(AQ182="Jah", LOOKUP(AM182,'HT-Transport (M3)'!$B$97:$B$109,'HT-Transport (M3)'!$E$97:$E$109),IF(AQ182= "Ei", " "))</f>
        <v>#N/A</v>
      </c>
      <c r="AU182" s="940"/>
      <c r="AV182" s="549" t="e">
        <f t="shared" ref="AV182:AV190" si="82">IF(AQ182="Jah",AO182*AP182*AR182, IF(AQ182="Ei",AO182*AP182*AS182))</f>
        <v>#N/A</v>
      </c>
      <c r="AW182" s="549" t="e">
        <f t="shared" ref="AW182:AW190" si="83">AV182*0.001</f>
        <v>#N/A</v>
      </c>
      <c r="AX182" s="293"/>
    </row>
    <row r="183" spans="1:50" ht="15" customHeight="1">
      <c r="B183" s="618"/>
      <c r="C183" s="923"/>
      <c r="D183" s="924"/>
      <c r="E183" s="619"/>
      <c r="F183" s="619"/>
      <c r="G183" s="572" t="s">
        <v>75</v>
      </c>
      <c r="H183" s="621" t="e">
        <f>IF(G183="Jah",LOOKUP(C183,'HT-Transport (M3)'!$B$97:$B$109,'HT-Transport (M3)'!$C$97:$C$109),IF(G183="Ei","x "))</f>
        <v>#N/A</v>
      </c>
      <c r="I183" s="618"/>
      <c r="J183" s="939" t="e">
        <f>IF(G183="Jah", LOOKUP(C183,'HT-Transport (M3)'!$B$97:$B$109,'HT-Transport (M3)'!$E$97:$E$109),IF(G183= "Ei", " "))</f>
        <v>#N/A</v>
      </c>
      <c r="K183" s="940"/>
      <c r="L183" s="549" t="e">
        <f t="shared" si="78"/>
        <v>#N/A</v>
      </c>
      <c r="M183" s="549" t="e">
        <f t="shared" si="79"/>
        <v>#N/A</v>
      </c>
      <c r="N183" s="293"/>
      <c r="T183" s="618"/>
      <c r="U183" s="923"/>
      <c r="V183" s="924"/>
      <c r="W183" s="619"/>
      <c r="X183" s="619"/>
      <c r="Y183" s="572" t="s">
        <v>75</v>
      </c>
      <c r="Z183" s="621" t="e">
        <f>IF(Y183="Jah",LOOKUP(U183,'HT-Transport (M3)'!$B$97:$B$109,'HT-Transport (M3)'!$C$97:$C$109),IF(Y183="Ei","x "))</f>
        <v>#N/A</v>
      </c>
      <c r="AA183" s="618"/>
      <c r="AB183" s="939" t="e">
        <f>IF(Y183="Jah", LOOKUP(U183,'HT-Transport (M3)'!$B$97:$B$109,'HT-Transport (M3)'!$E$97:$E$109),IF(Y183= "Ei", " "))</f>
        <v>#N/A</v>
      </c>
      <c r="AC183" s="940"/>
      <c r="AD183" s="549" t="e">
        <f t="shared" si="80"/>
        <v>#N/A</v>
      </c>
      <c r="AE183" s="549" t="e">
        <f t="shared" si="81"/>
        <v>#N/A</v>
      </c>
      <c r="AF183" s="293"/>
      <c r="AL183" s="618"/>
      <c r="AM183" s="923"/>
      <c r="AN183" s="924"/>
      <c r="AO183" s="619"/>
      <c r="AP183" s="619"/>
      <c r="AQ183" s="572" t="s">
        <v>75</v>
      </c>
      <c r="AR183" s="621" t="e">
        <f>IF(AQ183="Jah",LOOKUP(AM183,'HT-Transport (M3)'!$B$97:$B$109,'HT-Transport (M3)'!$C$97:$C$109),IF(AQ183="Ei","x "))</f>
        <v>#N/A</v>
      </c>
      <c r="AS183" s="618"/>
      <c r="AT183" s="939" t="e">
        <f>IF(AQ183="Jah", LOOKUP(AM183,'HT-Transport (M3)'!$B$97:$B$109,'HT-Transport (M3)'!$E$97:$E$109),IF(AQ183= "Ei", " "))</f>
        <v>#N/A</v>
      </c>
      <c r="AU183" s="940"/>
      <c r="AV183" s="549" t="e">
        <f t="shared" si="82"/>
        <v>#N/A</v>
      </c>
      <c r="AW183" s="549" t="e">
        <f t="shared" si="83"/>
        <v>#N/A</v>
      </c>
      <c r="AX183" s="293"/>
    </row>
    <row r="184" spans="1:50" ht="15" customHeight="1">
      <c r="A184" s="297"/>
      <c r="B184" s="618"/>
      <c r="C184" s="923"/>
      <c r="D184" s="924"/>
      <c r="E184" s="619"/>
      <c r="F184" s="619"/>
      <c r="G184" s="572" t="s">
        <v>75</v>
      </c>
      <c r="H184" s="621" t="e">
        <f>IF(G184="Jah",LOOKUP(C184,'HT-Transport (M3)'!$B$97:$B$109,'HT-Transport (M3)'!$C$97:$C$109),IF(G184="Ei","x "))</f>
        <v>#N/A</v>
      </c>
      <c r="I184" s="618"/>
      <c r="J184" s="939" t="e">
        <f>IF(G184="Jah", LOOKUP(C184,'HT-Transport (M3)'!$B$97:$B$109,'HT-Transport (M3)'!$E$97:$E$109),IF(G184= "Ei", " "))</f>
        <v>#N/A</v>
      </c>
      <c r="K184" s="940"/>
      <c r="L184" s="549" t="e">
        <f t="shared" si="78"/>
        <v>#N/A</v>
      </c>
      <c r="M184" s="549" t="e">
        <f t="shared" si="79"/>
        <v>#N/A</v>
      </c>
      <c r="N184" s="293"/>
      <c r="T184" s="618"/>
      <c r="U184" s="923"/>
      <c r="V184" s="924"/>
      <c r="W184" s="619"/>
      <c r="X184" s="619"/>
      <c r="Y184" s="572" t="s">
        <v>75</v>
      </c>
      <c r="Z184" s="621" t="e">
        <f>IF(Y184="Jah",LOOKUP(U184,'HT-Transport (M3)'!$B$97:$B$109,'HT-Transport (M3)'!$C$97:$C$109),IF(Y184="Ei","x "))</f>
        <v>#N/A</v>
      </c>
      <c r="AA184" s="618"/>
      <c r="AB184" s="939" t="e">
        <f>IF(Y184="Jah", LOOKUP(U184,'HT-Transport (M3)'!$B$97:$B$109,'HT-Transport (M3)'!$E$97:$E$109),IF(Y184= "Ei", " "))</f>
        <v>#N/A</v>
      </c>
      <c r="AC184" s="940"/>
      <c r="AD184" s="549" t="e">
        <f t="shared" si="80"/>
        <v>#N/A</v>
      </c>
      <c r="AE184" s="549" t="e">
        <f t="shared" si="81"/>
        <v>#N/A</v>
      </c>
      <c r="AF184" s="293"/>
      <c r="AL184" s="618"/>
      <c r="AM184" s="923"/>
      <c r="AN184" s="924"/>
      <c r="AO184" s="619"/>
      <c r="AP184" s="619"/>
      <c r="AQ184" s="572" t="s">
        <v>75</v>
      </c>
      <c r="AR184" s="621" t="e">
        <f>IF(AQ184="Jah",LOOKUP(AM184,'HT-Transport (M3)'!$B$97:$B$109,'HT-Transport (M3)'!$C$97:$C$109),IF(AQ184="Ei","x "))</f>
        <v>#N/A</v>
      </c>
      <c r="AS184" s="618"/>
      <c r="AT184" s="939" t="e">
        <f>IF(AQ184="Jah", LOOKUP(AM184,'HT-Transport (M3)'!$B$97:$B$109,'HT-Transport (M3)'!$E$97:$E$109),IF(AQ184= "Ei", " "))</f>
        <v>#N/A</v>
      </c>
      <c r="AU184" s="940"/>
      <c r="AV184" s="549" t="e">
        <f t="shared" si="82"/>
        <v>#N/A</v>
      </c>
      <c r="AW184" s="549" t="e">
        <f t="shared" si="83"/>
        <v>#N/A</v>
      </c>
      <c r="AX184" s="293"/>
    </row>
    <row r="185" spans="1:50" ht="15" customHeight="1">
      <c r="A185" s="297"/>
      <c r="B185" s="618"/>
      <c r="C185" s="923"/>
      <c r="D185" s="924"/>
      <c r="E185" s="619"/>
      <c r="F185" s="619"/>
      <c r="G185" s="572" t="s">
        <v>75</v>
      </c>
      <c r="H185" s="621" t="e">
        <f>IF(G185="Jah",LOOKUP(C185,'HT-Transport (M3)'!$B$97:$B$109,'HT-Transport (M3)'!$C$97:$C$109),IF(G185="Ei","x "))</f>
        <v>#N/A</v>
      </c>
      <c r="I185" s="618"/>
      <c r="J185" s="939" t="e">
        <f>IF(G185="Jah", LOOKUP(C185,'HT-Transport (M3)'!$B$97:$B$109,'HT-Transport (M3)'!$E$97:$E$109),IF(G185= "Ei", " "))</f>
        <v>#N/A</v>
      </c>
      <c r="K185" s="940"/>
      <c r="L185" s="549" t="e">
        <f t="shared" si="78"/>
        <v>#N/A</v>
      </c>
      <c r="M185" s="549" t="e">
        <f t="shared" si="79"/>
        <v>#N/A</v>
      </c>
      <c r="N185" s="293"/>
      <c r="T185" s="618"/>
      <c r="U185" s="923"/>
      <c r="V185" s="924"/>
      <c r="W185" s="619"/>
      <c r="X185" s="619"/>
      <c r="Y185" s="572" t="s">
        <v>75</v>
      </c>
      <c r="Z185" s="621" t="e">
        <f>IF(Y185="Jah",LOOKUP(U185,'HT-Transport (M3)'!$B$97:$B$109,'HT-Transport (M3)'!$C$97:$C$109),IF(Y185="Ei","x "))</f>
        <v>#N/A</v>
      </c>
      <c r="AA185" s="618"/>
      <c r="AB185" s="939" t="e">
        <f>IF(Y185="Jah", LOOKUP(U185,'HT-Transport (M3)'!$B$97:$B$109,'HT-Transport (M3)'!$E$97:$E$109),IF(Y185= "Ei", " "))</f>
        <v>#N/A</v>
      </c>
      <c r="AC185" s="940"/>
      <c r="AD185" s="549" t="e">
        <f t="shared" si="80"/>
        <v>#N/A</v>
      </c>
      <c r="AE185" s="549" t="e">
        <f t="shared" si="81"/>
        <v>#N/A</v>
      </c>
      <c r="AF185" s="293"/>
      <c r="AL185" s="618"/>
      <c r="AM185" s="923"/>
      <c r="AN185" s="924"/>
      <c r="AO185" s="619"/>
      <c r="AP185" s="619"/>
      <c r="AQ185" s="572" t="s">
        <v>75</v>
      </c>
      <c r="AR185" s="621" t="e">
        <f>IF(AQ185="Jah",LOOKUP(AM185,'HT-Transport (M3)'!$B$97:$B$109,'HT-Transport (M3)'!$C$97:$C$109),IF(AQ185="Ei","x "))</f>
        <v>#N/A</v>
      </c>
      <c r="AS185" s="618"/>
      <c r="AT185" s="939" t="e">
        <f>IF(AQ185="Jah", LOOKUP(AM185,'HT-Transport (M3)'!$B$97:$B$109,'HT-Transport (M3)'!$E$97:$E$109),IF(AQ185= "Ei", " "))</f>
        <v>#N/A</v>
      </c>
      <c r="AU185" s="940"/>
      <c r="AV185" s="549" t="e">
        <f t="shared" si="82"/>
        <v>#N/A</v>
      </c>
      <c r="AW185" s="549" t="e">
        <f t="shared" si="83"/>
        <v>#N/A</v>
      </c>
      <c r="AX185" s="293"/>
    </row>
    <row r="186" spans="1:50" ht="15" customHeight="1">
      <c r="A186" s="297"/>
      <c r="B186" s="618"/>
      <c r="C186" s="923"/>
      <c r="D186" s="924"/>
      <c r="E186" s="619"/>
      <c r="F186" s="619"/>
      <c r="G186" s="572" t="s">
        <v>75</v>
      </c>
      <c r="H186" s="621" t="e">
        <f>IF(G186="Jah",LOOKUP(C186,'HT-Transport (M3)'!$B$97:$B$109,'HT-Transport (M3)'!$C$97:$C$109),IF(G186="Ei","x "))</f>
        <v>#N/A</v>
      </c>
      <c r="I186" s="618"/>
      <c r="J186" s="939" t="e">
        <f>IF(G186="Jah", LOOKUP(C186,'HT-Transport (M3)'!$B$97:$B$109,'HT-Transport (M3)'!$E$97:$E$109),IF(G186= "Ei", " "))</f>
        <v>#N/A</v>
      </c>
      <c r="K186" s="940"/>
      <c r="L186" s="549" t="e">
        <f t="shared" si="78"/>
        <v>#N/A</v>
      </c>
      <c r="M186" s="549" t="e">
        <f t="shared" si="79"/>
        <v>#N/A</v>
      </c>
      <c r="N186" s="293"/>
      <c r="T186" s="618"/>
      <c r="U186" s="923"/>
      <c r="V186" s="924"/>
      <c r="W186" s="619"/>
      <c r="X186" s="619"/>
      <c r="Y186" s="572" t="s">
        <v>75</v>
      </c>
      <c r="Z186" s="621" t="e">
        <f>IF(Y186="Jah",LOOKUP(U186,'HT-Transport (M3)'!$B$97:$B$109,'HT-Transport (M3)'!$C$97:$C$109),IF(Y186="Ei","x "))</f>
        <v>#N/A</v>
      </c>
      <c r="AA186" s="618"/>
      <c r="AB186" s="939" t="e">
        <f>IF(Y186="Jah", LOOKUP(U186,'HT-Transport (M3)'!$B$97:$B$109,'HT-Transport (M3)'!$E$97:$E$109),IF(Y186= "Ei", " "))</f>
        <v>#N/A</v>
      </c>
      <c r="AC186" s="940"/>
      <c r="AD186" s="549" t="e">
        <f t="shared" si="80"/>
        <v>#N/A</v>
      </c>
      <c r="AE186" s="549" t="e">
        <f t="shared" si="81"/>
        <v>#N/A</v>
      </c>
      <c r="AF186" s="293"/>
      <c r="AL186" s="618"/>
      <c r="AM186" s="923"/>
      <c r="AN186" s="924"/>
      <c r="AO186" s="619"/>
      <c r="AP186" s="619"/>
      <c r="AQ186" s="572" t="s">
        <v>75</v>
      </c>
      <c r="AR186" s="621" t="e">
        <f>IF(AQ186="Jah",LOOKUP(AM186,'HT-Transport (M3)'!$B$97:$B$109,'HT-Transport (M3)'!$C$97:$C$109),IF(AQ186="Ei","x "))</f>
        <v>#N/A</v>
      </c>
      <c r="AS186" s="618"/>
      <c r="AT186" s="939" t="e">
        <f>IF(AQ186="Jah", LOOKUP(AM186,'HT-Transport (M3)'!$B$97:$B$109,'HT-Transport (M3)'!$E$97:$E$109),IF(AQ186= "Ei", " "))</f>
        <v>#N/A</v>
      </c>
      <c r="AU186" s="940"/>
      <c r="AV186" s="549" t="e">
        <f t="shared" si="82"/>
        <v>#N/A</v>
      </c>
      <c r="AW186" s="549" t="e">
        <f t="shared" si="83"/>
        <v>#N/A</v>
      </c>
      <c r="AX186" s="293"/>
    </row>
    <row r="187" spans="1:50" ht="15" customHeight="1">
      <c r="A187" s="297"/>
      <c r="B187" s="618"/>
      <c r="C187" s="923"/>
      <c r="D187" s="924"/>
      <c r="E187" s="619"/>
      <c r="F187" s="619"/>
      <c r="G187" s="572" t="s">
        <v>75</v>
      </c>
      <c r="H187" s="621" t="e">
        <f>IF(G187="Jah",LOOKUP(C187,'HT-Transport (M3)'!$B$97:$B$109,'HT-Transport (M3)'!$C$97:$C$109),IF(G187="Ei","x "))</f>
        <v>#N/A</v>
      </c>
      <c r="I187" s="618"/>
      <c r="J187" s="939" t="e">
        <f>IF(G187="Jah", LOOKUP(C187,'HT-Transport (M3)'!$B$97:$B$109,'HT-Transport (M3)'!$E$97:$E$109),IF(G187= "Ei", " "))</f>
        <v>#N/A</v>
      </c>
      <c r="K187" s="940"/>
      <c r="L187" s="549" t="e">
        <f t="shared" si="78"/>
        <v>#N/A</v>
      </c>
      <c r="M187" s="549" t="e">
        <f t="shared" si="79"/>
        <v>#N/A</v>
      </c>
      <c r="N187" s="293"/>
      <c r="T187" s="618"/>
      <c r="U187" s="923"/>
      <c r="V187" s="924"/>
      <c r="W187" s="619"/>
      <c r="X187" s="619"/>
      <c r="Y187" s="572" t="s">
        <v>75</v>
      </c>
      <c r="Z187" s="621" t="e">
        <f>IF(Y187="Jah",LOOKUP(U187,'HT-Transport (M3)'!$B$97:$B$109,'HT-Transport (M3)'!$C$97:$C$109),IF(Y187="Ei","x "))</f>
        <v>#N/A</v>
      </c>
      <c r="AA187" s="618"/>
      <c r="AB187" s="939" t="e">
        <f>IF(Y187="Jah", LOOKUP(U187,'HT-Transport (M3)'!$B$97:$B$109,'HT-Transport (M3)'!$E$97:$E$109),IF(Y187= "Ei", " "))</f>
        <v>#N/A</v>
      </c>
      <c r="AC187" s="940"/>
      <c r="AD187" s="549" t="e">
        <f t="shared" si="80"/>
        <v>#N/A</v>
      </c>
      <c r="AE187" s="549" t="e">
        <f t="shared" si="81"/>
        <v>#N/A</v>
      </c>
      <c r="AF187" s="293"/>
      <c r="AL187" s="618"/>
      <c r="AM187" s="923"/>
      <c r="AN187" s="924"/>
      <c r="AO187" s="619"/>
      <c r="AP187" s="619"/>
      <c r="AQ187" s="572" t="s">
        <v>75</v>
      </c>
      <c r="AR187" s="621" t="e">
        <f>IF(AQ187="Jah",LOOKUP(AM187,'HT-Transport (M3)'!$B$97:$B$109,'HT-Transport (M3)'!$C$97:$C$109),IF(AQ187="Ei","x "))</f>
        <v>#N/A</v>
      </c>
      <c r="AS187" s="618"/>
      <c r="AT187" s="939" t="e">
        <f>IF(AQ187="Jah", LOOKUP(AM187,'HT-Transport (M3)'!$B$97:$B$109,'HT-Transport (M3)'!$E$97:$E$109),IF(AQ187= "Ei", " "))</f>
        <v>#N/A</v>
      </c>
      <c r="AU187" s="940"/>
      <c r="AV187" s="549" t="e">
        <f t="shared" si="82"/>
        <v>#N/A</v>
      </c>
      <c r="AW187" s="549" t="e">
        <f t="shared" si="83"/>
        <v>#N/A</v>
      </c>
      <c r="AX187" s="293"/>
    </row>
    <row r="188" spans="1:50" ht="15" customHeight="1">
      <c r="B188" s="618"/>
      <c r="C188" s="923"/>
      <c r="D188" s="924"/>
      <c r="E188" s="619"/>
      <c r="F188" s="619"/>
      <c r="G188" s="572" t="s">
        <v>75</v>
      </c>
      <c r="H188" s="621" t="e">
        <f>IF(G188="Jah",LOOKUP(C188,'HT-Transport (M3)'!$B$97:$B$109,'HT-Transport (M3)'!$C$97:$C$109),IF(G188="Ei","x "))</f>
        <v>#N/A</v>
      </c>
      <c r="I188" s="618"/>
      <c r="J188" s="939" t="e">
        <f>IF(G188="Jah", LOOKUP(C188,'HT-Transport (M3)'!$B$97:$B$109,'HT-Transport (M3)'!$E$97:$E$109),IF(G188= "Ei", " "))</f>
        <v>#N/A</v>
      </c>
      <c r="K188" s="940"/>
      <c r="L188" s="549" t="e">
        <f t="shared" si="78"/>
        <v>#N/A</v>
      </c>
      <c r="M188" s="549" t="e">
        <f t="shared" si="79"/>
        <v>#N/A</v>
      </c>
      <c r="N188" s="293"/>
      <c r="T188" s="618"/>
      <c r="U188" s="923"/>
      <c r="V188" s="924"/>
      <c r="W188" s="619"/>
      <c r="X188" s="619"/>
      <c r="Y188" s="572" t="s">
        <v>75</v>
      </c>
      <c r="Z188" s="621" t="e">
        <f>IF(Y188="Jah",LOOKUP(U188,'HT-Transport (M3)'!$B$97:$B$109,'HT-Transport (M3)'!$C$97:$C$109),IF(Y188="Ei","x "))</f>
        <v>#N/A</v>
      </c>
      <c r="AA188" s="618"/>
      <c r="AB188" s="939" t="e">
        <f>IF(Y188="Jah", LOOKUP(U188,'HT-Transport (M3)'!$B$97:$B$109,'HT-Transport (M3)'!$E$97:$E$109),IF(Y188= "Ei", " "))</f>
        <v>#N/A</v>
      </c>
      <c r="AC188" s="940"/>
      <c r="AD188" s="549" t="e">
        <f t="shared" si="80"/>
        <v>#N/A</v>
      </c>
      <c r="AE188" s="549" t="e">
        <f t="shared" si="81"/>
        <v>#N/A</v>
      </c>
      <c r="AF188" s="293"/>
      <c r="AL188" s="618"/>
      <c r="AM188" s="923"/>
      <c r="AN188" s="924"/>
      <c r="AO188" s="619"/>
      <c r="AP188" s="619"/>
      <c r="AQ188" s="572" t="s">
        <v>75</v>
      </c>
      <c r="AR188" s="621" t="e">
        <f>IF(AQ188="Jah",LOOKUP(AM188,'HT-Transport (M3)'!$B$97:$B$109,'HT-Transport (M3)'!$C$97:$C$109),IF(AQ188="Ei","x "))</f>
        <v>#N/A</v>
      </c>
      <c r="AS188" s="618"/>
      <c r="AT188" s="939" t="e">
        <f>IF(AQ188="Jah", LOOKUP(AM188,'HT-Transport (M3)'!$B$97:$B$109,'HT-Transport (M3)'!$E$97:$E$109),IF(AQ188= "Ei", " "))</f>
        <v>#N/A</v>
      </c>
      <c r="AU188" s="940"/>
      <c r="AV188" s="549" t="e">
        <f t="shared" si="82"/>
        <v>#N/A</v>
      </c>
      <c r="AW188" s="549" t="e">
        <f t="shared" si="83"/>
        <v>#N/A</v>
      </c>
      <c r="AX188" s="293"/>
    </row>
    <row r="189" spans="1:50" ht="15" customHeight="1">
      <c r="B189" s="618"/>
      <c r="C189" s="923"/>
      <c r="D189" s="924"/>
      <c r="E189" s="619"/>
      <c r="F189" s="619"/>
      <c r="G189" s="572" t="s">
        <v>75</v>
      </c>
      <c r="H189" s="621" t="e">
        <f>IF(G189="Jah",LOOKUP(C189,'HT-Transport (M3)'!$B$97:$B$109,'HT-Transport (M3)'!$C$97:$C$109),IF(G189="Ei","x "))</f>
        <v>#N/A</v>
      </c>
      <c r="I189" s="618"/>
      <c r="J189" s="939" t="e">
        <f>IF(G189="Jah", LOOKUP(C189,'HT-Transport (M3)'!$B$97:$B$109,'HT-Transport (M3)'!$E$97:$E$109),IF(G189= "Ei", " "))</f>
        <v>#N/A</v>
      </c>
      <c r="K189" s="940"/>
      <c r="L189" s="549" t="e">
        <f t="shared" si="78"/>
        <v>#N/A</v>
      </c>
      <c r="M189" s="549" t="e">
        <f t="shared" si="79"/>
        <v>#N/A</v>
      </c>
      <c r="N189" s="293"/>
      <c r="T189" s="618"/>
      <c r="U189" s="923"/>
      <c r="V189" s="924"/>
      <c r="W189" s="619"/>
      <c r="X189" s="619"/>
      <c r="Y189" s="572" t="s">
        <v>75</v>
      </c>
      <c r="Z189" s="621" t="e">
        <f>IF(Y189="Jah",LOOKUP(U189,'HT-Transport (M3)'!$B$97:$B$109,'HT-Transport (M3)'!$C$97:$C$109),IF(Y189="Ei","x "))</f>
        <v>#N/A</v>
      </c>
      <c r="AA189" s="618"/>
      <c r="AB189" s="939" t="e">
        <f>IF(Y189="Jah", LOOKUP(U189,'HT-Transport (M3)'!$B$97:$B$109,'HT-Transport (M3)'!$E$97:$E$109),IF(Y189= "Ei", " "))</f>
        <v>#N/A</v>
      </c>
      <c r="AC189" s="940"/>
      <c r="AD189" s="549" t="e">
        <f t="shared" si="80"/>
        <v>#N/A</v>
      </c>
      <c r="AE189" s="549" t="e">
        <f t="shared" si="81"/>
        <v>#N/A</v>
      </c>
      <c r="AF189" s="293"/>
      <c r="AL189" s="618"/>
      <c r="AM189" s="923"/>
      <c r="AN189" s="924"/>
      <c r="AO189" s="619"/>
      <c r="AP189" s="619"/>
      <c r="AQ189" s="572" t="s">
        <v>75</v>
      </c>
      <c r="AR189" s="621" t="e">
        <f>IF(AQ189="Jah",LOOKUP(AM189,'HT-Transport (M3)'!$B$97:$B$109,'HT-Transport (M3)'!$C$97:$C$109),IF(AQ189="Ei","x "))</f>
        <v>#N/A</v>
      </c>
      <c r="AS189" s="618"/>
      <c r="AT189" s="939" t="e">
        <f>IF(AQ189="Jah", LOOKUP(AM189,'HT-Transport (M3)'!$B$97:$B$109,'HT-Transport (M3)'!$E$97:$E$109),IF(AQ189= "Ei", " "))</f>
        <v>#N/A</v>
      </c>
      <c r="AU189" s="940"/>
      <c r="AV189" s="549" t="e">
        <f t="shared" si="82"/>
        <v>#N/A</v>
      </c>
      <c r="AW189" s="549" t="e">
        <f t="shared" si="83"/>
        <v>#N/A</v>
      </c>
      <c r="AX189" s="293"/>
    </row>
    <row r="190" spans="1:50" ht="15" customHeight="1">
      <c r="B190" s="618"/>
      <c r="C190" s="923"/>
      <c r="D190" s="924"/>
      <c r="E190" s="619"/>
      <c r="F190" s="619"/>
      <c r="G190" s="572" t="s">
        <v>75</v>
      </c>
      <c r="H190" s="621" t="e">
        <f>IF(G190="Jah",LOOKUP(C190,'HT-Transport (M3)'!$B$97:$B$109,'HT-Transport (M3)'!$C$97:$C$109),IF(G190="Ei","x "))</f>
        <v>#N/A</v>
      </c>
      <c r="I190" s="618"/>
      <c r="J190" s="939" t="e">
        <f>IF(G190="Jah", LOOKUP(C190,'HT-Transport (M3)'!$B$97:$B$109,'HT-Transport (M3)'!$E$97:$E$109),IF(G190= "Ei", " "))</f>
        <v>#N/A</v>
      </c>
      <c r="K190" s="940"/>
      <c r="L190" s="549" t="e">
        <f t="shared" si="78"/>
        <v>#N/A</v>
      </c>
      <c r="M190" s="549" t="e">
        <f t="shared" si="79"/>
        <v>#N/A</v>
      </c>
      <c r="N190" s="293"/>
      <c r="T190" s="618"/>
      <c r="U190" s="923"/>
      <c r="V190" s="924"/>
      <c r="W190" s="619"/>
      <c r="X190" s="619"/>
      <c r="Y190" s="572" t="s">
        <v>75</v>
      </c>
      <c r="Z190" s="621" t="e">
        <f>IF(Y190="Jah",LOOKUP(U190,'HT-Transport (M3)'!$B$97:$B$109,'HT-Transport (M3)'!$C$97:$C$109),IF(Y190="Ei","x "))</f>
        <v>#N/A</v>
      </c>
      <c r="AA190" s="618"/>
      <c r="AB190" s="939" t="e">
        <f>IF(Y190="Jah", LOOKUP(U190,'HT-Transport (M3)'!$B$97:$B$109,'HT-Transport (M3)'!$E$97:$E$109),IF(Y190= "Ei", " "))</f>
        <v>#N/A</v>
      </c>
      <c r="AC190" s="940"/>
      <c r="AD190" s="549" t="e">
        <f t="shared" si="80"/>
        <v>#N/A</v>
      </c>
      <c r="AE190" s="549" t="e">
        <f t="shared" si="81"/>
        <v>#N/A</v>
      </c>
      <c r="AF190" s="293"/>
      <c r="AL190" s="618"/>
      <c r="AM190" s="923"/>
      <c r="AN190" s="924"/>
      <c r="AO190" s="619"/>
      <c r="AP190" s="619"/>
      <c r="AQ190" s="572" t="s">
        <v>75</v>
      </c>
      <c r="AR190" s="621" t="e">
        <f>IF(AQ190="Jah",LOOKUP(AM190,'HT-Transport (M3)'!$B$97:$B$109,'HT-Transport (M3)'!$C$97:$C$109),IF(AQ190="Ei","x "))</f>
        <v>#N/A</v>
      </c>
      <c r="AS190" s="618"/>
      <c r="AT190" s="939" t="e">
        <f>IF(AQ190="Jah", LOOKUP(AM190,'HT-Transport (M3)'!$B$97:$B$109,'HT-Transport (M3)'!$E$97:$E$109),IF(AQ190= "Ei", " "))</f>
        <v>#N/A</v>
      </c>
      <c r="AU190" s="940"/>
      <c r="AV190" s="549" t="e">
        <f t="shared" si="82"/>
        <v>#N/A</v>
      </c>
      <c r="AW190" s="549" t="e">
        <f t="shared" si="83"/>
        <v>#N/A</v>
      </c>
      <c r="AX190" s="293"/>
    </row>
    <row r="191" spans="1:50" ht="15" customHeight="1">
      <c r="B191" s="625"/>
      <c r="C191" s="626"/>
      <c r="D191" s="626"/>
      <c r="E191" s="626"/>
      <c r="F191" s="643"/>
      <c r="G191" s="626"/>
      <c r="H191" s="643"/>
      <c r="I191" s="643"/>
      <c r="J191" s="537"/>
      <c r="K191" s="592" t="s">
        <v>1592</v>
      </c>
      <c r="L191" s="594">
        <f>SUMIF(L181:L190,"&lt;&gt;#N/A")</f>
        <v>49200</v>
      </c>
      <c r="M191" s="594">
        <f>SUMIF(M181:M190,"&lt;&gt;#N/A")</f>
        <v>49.2</v>
      </c>
      <c r="N191" s="637"/>
      <c r="T191" s="625"/>
      <c r="U191" s="626"/>
      <c r="V191" s="626"/>
      <c r="W191" s="626"/>
      <c r="X191" s="643"/>
      <c r="Y191" s="626"/>
      <c r="Z191" s="643"/>
      <c r="AA191" s="643"/>
      <c r="AB191" s="537"/>
      <c r="AC191" s="592" t="s">
        <v>1592</v>
      </c>
      <c r="AD191" s="594">
        <f>SUMIF(AD181:AD190,"&lt;&gt;#N/A")</f>
        <v>0</v>
      </c>
      <c r="AE191" s="594">
        <f>SUMIF(AE181:AE190,"&lt;&gt;#N/A")</f>
        <v>0</v>
      </c>
      <c r="AF191" s="637"/>
      <c r="AL191" s="625"/>
      <c r="AM191" s="626"/>
      <c r="AN191" s="626"/>
      <c r="AO191" s="626"/>
      <c r="AP191" s="643"/>
      <c r="AQ191" s="626"/>
      <c r="AR191" s="643"/>
      <c r="AS191" s="643"/>
      <c r="AT191" s="537"/>
      <c r="AU191" s="592" t="s">
        <v>1592</v>
      </c>
      <c r="AV191" s="594">
        <f>SUMIF(AV181:AV190,"&lt;&gt;#N/A")</f>
        <v>0</v>
      </c>
      <c r="AW191" s="594">
        <f>SUMIF(AW181:AW190,"&lt;&gt;#N/A")</f>
        <v>0</v>
      </c>
      <c r="AX191" s="637"/>
    </row>
    <row r="192" spans="1:50" ht="15" customHeight="1" thickBot="1">
      <c r="I192" s="365"/>
      <c r="K192" s="636"/>
      <c r="X192" s="365"/>
      <c r="Z192" s="365"/>
      <c r="AA192" s="365"/>
      <c r="AC192" s="636"/>
      <c r="AP192" s="365"/>
      <c r="AR192" s="365"/>
      <c r="AS192" s="365"/>
      <c r="AU192" s="636"/>
    </row>
    <row r="193" spans="1:50" ht="15" customHeight="1" thickTop="1">
      <c r="B193" s="651"/>
      <c r="C193" s="652"/>
      <c r="D193" s="652"/>
      <c r="E193" s="652"/>
      <c r="F193" s="653"/>
      <c r="G193" s="652"/>
      <c r="H193" s="653"/>
      <c r="I193" s="653"/>
      <c r="J193" s="652"/>
      <c r="K193" s="654" t="s">
        <v>1904</v>
      </c>
      <c r="L193" s="935">
        <f>O59+P78+P97+P116+L134+L153+O172+L191</f>
        <v>252475.82412773752</v>
      </c>
      <c r="M193" s="937">
        <f>P59+Q78+Q97+Q116+M134+M153+P172+M191</f>
        <v>252.4758241277375</v>
      </c>
      <c r="N193" s="491"/>
      <c r="T193" s="651"/>
      <c r="U193" s="652"/>
      <c r="V193" s="652"/>
      <c r="W193" s="652"/>
      <c r="X193" s="653"/>
      <c r="Y193" s="652"/>
      <c r="Z193" s="653"/>
      <c r="AA193" s="653"/>
      <c r="AB193" s="652"/>
      <c r="AC193" s="654" t="s">
        <v>1904</v>
      </c>
      <c r="AD193" s="935">
        <f>AG59+AH78+AH97+AH116+AD134+AD153+AG172+AD191</f>
        <v>11554.284900314091</v>
      </c>
      <c r="AE193" s="937">
        <f>AH59+AI78+AI97+AI116+AE134+AE153+AH172+AE191</f>
        <v>11.554284900314091</v>
      </c>
      <c r="AF193" s="491"/>
      <c r="AL193" s="651"/>
      <c r="AM193" s="652"/>
      <c r="AN193" s="652"/>
      <c r="AO193" s="652"/>
      <c r="AP193" s="653"/>
      <c r="AQ193" s="652"/>
      <c r="AR193" s="653"/>
      <c r="AS193" s="653"/>
      <c r="AT193" s="652"/>
      <c r="AU193" s="654" t="s">
        <v>1904</v>
      </c>
      <c r="AV193" s="935">
        <f>AY59+AZ78+AZ97+AZ116+AV134+AV153+AY172+AV191</f>
        <v>0</v>
      </c>
      <c r="AW193" s="937">
        <f>AZ59+BA78+BA97+BA116+AW134+AW153+AZ172+AW191</f>
        <v>0</v>
      </c>
      <c r="AX193" s="491"/>
    </row>
    <row r="194" spans="1:50" ht="15" customHeight="1" thickBot="1">
      <c r="B194" s="655"/>
      <c r="C194" s="656"/>
      <c r="D194" s="656"/>
      <c r="E194" s="656"/>
      <c r="F194" s="657"/>
      <c r="G194" s="656"/>
      <c r="H194" s="657"/>
      <c r="I194" s="656"/>
      <c r="J194" s="656"/>
      <c r="K194" s="658" t="s">
        <v>1553</v>
      </c>
      <c r="L194" s="936"/>
      <c r="M194" s="938"/>
      <c r="T194" s="655"/>
      <c r="U194" s="656"/>
      <c r="V194" s="656"/>
      <c r="W194" s="656"/>
      <c r="X194" s="657"/>
      <c r="Y194" s="656"/>
      <c r="Z194" s="657"/>
      <c r="AA194" s="656"/>
      <c r="AB194" s="656"/>
      <c r="AC194" s="658" t="s">
        <v>1553</v>
      </c>
      <c r="AD194" s="936"/>
      <c r="AE194" s="938"/>
      <c r="AL194" s="655"/>
      <c r="AM194" s="656"/>
      <c r="AN194" s="656"/>
      <c r="AO194" s="656"/>
      <c r="AP194" s="657"/>
      <c r="AQ194" s="656"/>
      <c r="AR194" s="657"/>
      <c r="AS194" s="656"/>
      <c r="AT194" s="656"/>
      <c r="AU194" s="658" t="s">
        <v>1553</v>
      </c>
      <c r="AV194" s="936"/>
      <c r="AW194" s="938"/>
    </row>
    <row r="195" spans="1:50" ht="15" customHeight="1" thickTop="1">
      <c r="F195" s="297"/>
      <c r="H195" s="297"/>
    </row>
    <row r="196" spans="1:50" ht="15" customHeight="1">
      <c r="B196" s="536"/>
      <c r="C196" s="537"/>
      <c r="D196" s="537"/>
      <c r="E196" s="537"/>
      <c r="F196" s="537"/>
      <c r="G196" s="537"/>
      <c r="H196" s="537"/>
      <c r="I196" s="537"/>
      <c r="J196" s="537"/>
      <c r="K196" s="538" t="s">
        <v>1575</v>
      </c>
      <c r="L196" s="539">
        <f>SUMIF(B49:B58,1,O49:O58)+SUMIF(B68:B77,1,P68:P77)+SUMIF(B87:B96,1,P87:P96)+SUMIF(B106:B115,1,P106:P115)+SUMIF(B124:B133,1,L124:L133)+SUMIF(B143:B152,1,L143:L152)+SUMIF(B162:B171,1,O162:O171)+SUMIF(B181:B190,1,L181:L190)</f>
        <v>151547.05510582181</v>
      </c>
      <c r="M196" s="540">
        <f>L196*0.001</f>
        <v>151.54705510582181</v>
      </c>
      <c r="T196" s="536"/>
      <c r="U196" s="537"/>
      <c r="V196" s="537"/>
      <c r="W196" s="537"/>
      <c r="X196" s="537"/>
      <c r="Y196" s="537"/>
      <c r="Z196" s="537"/>
      <c r="AA196" s="537"/>
      <c r="AB196" s="537"/>
      <c r="AC196" s="538" t="s">
        <v>1575</v>
      </c>
      <c r="AD196" s="539">
        <f>SUMIF(T49:T58,1,AG49:AG58)+SUMIF(T68:T77,1,AH68:AH77)+SUMIF(T87:T96,1,AH87:AH96)+SUMIF(T106:T115,1,AH106:AH115)+SUMIF(T124:T133,1,AD124:AD133)+SUMIF(T143:T152,1,AD143:AD152)+SUMIF(T162:T171,1,AG162:AG171)+SUMIF(T181:T190,1,AD181:AD190)</f>
        <v>11554.284900314091</v>
      </c>
      <c r="AE196" s="540">
        <f>AD196*0.001</f>
        <v>11.554284900314091</v>
      </c>
      <c r="AL196" s="536"/>
      <c r="AM196" s="537"/>
      <c r="AN196" s="537"/>
      <c r="AO196" s="537"/>
      <c r="AP196" s="537"/>
      <c r="AQ196" s="537"/>
      <c r="AR196" s="537"/>
      <c r="AS196" s="537"/>
      <c r="AT196" s="537"/>
      <c r="AU196" s="538" t="s">
        <v>1575</v>
      </c>
      <c r="AV196" s="539">
        <f>SUMIF(AL49:AL58,1,AY49:AY58)+SUMIF(AL68:AL77,1,AZ68:AZ77)+SUMIF(AL87:AL96,1,AZ87:AZ96)+SUMIF(AL106:AL115,1,AZ106:AZ115)+SUMIF(AL124:AL133,1,AV124:AV133)+SUMIF(AL143:AL152,1,AV143:AV152)+SUMIF(AL162:AL171,1,AY162:AY171)+SUMIF(AL181:AL190,1,AV181:AV190)</f>
        <v>0</v>
      </c>
      <c r="AW196" s="540">
        <f>AV196*0.001</f>
        <v>0</v>
      </c>
    </row>
    <row r="197" spans="1:50" ht="15" customHeight="1">
      <c r="B197" s="536"/>
      <c r="C197" s="537"/>
      <c r="D197" s="537"/>
      <c r="E197" s="537"/>
      <c r="F197" s="537"/>
      <c r="G197" s="537"/>
      <c r="H197" s="537"/>
      <c r="I197" s="537"/>
      <c r="J197" s="537"/>
      <c r="K197" s="538" t="s">
        <v>1576</v>
      </c>
      <c r="L197" s="539">
        <f>SUMIF(B49:B58,2,O49:O58)+SUMIF(B68:B77,2,P68:P77)+SUMIF(B87:B96,2,P87:P96)+SUMIF(B106:B115,2,P106:P115)+SUMIF(B124:B133,2,L124:L133)+SUMIF(B143:B152,2,L143:L152)+SUMIF(B162:B171,2,O162:O171)+SUMIF(B181:B190,2,L181:L190)</f>
        <v>26750.931673289371</v>
      </c>
      <c r="M197" s="540">
        <f t="shared" ref="M197:M198" si="84">L197*0.001</f>
        <v>26.750931673289372</v>
      </c>
      <c r="T197" s="536"/>
      <c r="U197" s="537"/>
      <c r="V197" s="537"/>
      <c r="W197" s="537"/>
      <c r="X197" s="537"/>
      <c r="Y197" s="537"/>
      <c r="Z197" s="537"/>
      <c r="AA197" s="537"/>
      <c r="AB197" s="537"/>
      <c r="AC197" s="538" t="s">
        <v>1576</v>
      </c>
      <c r="AD197" s="539">
        <f>SUMIF(T49:T58,2,AG49:AG58)+SUMIF(T68:T77,2,AH68:AH77)+SUMIF(T87:T96,2,AH87:AH96)+SUMIF(T106:T115,2,AH106:AH115)+SUMIF(T124:T133,2,AD124:AD133)+SUMIF(T143:T152,2,AD143:AD152)+SUMIF(T162:T171,2,AG162:AG171)+SUMIF(T181:T190,2,AD181:AD190)</f>
        <v>0</v>
      </c>
      <c r="AE197" s="540">
        <f t="shared" ref="AE197:AE198" si="85">AD197*0.001</f>
        <v>0</v>
      </c>
      <c r="AL197" s="536"/>
      <c r="AM197" s="537"/>
      <c r="AN197" s="537"/>
      <c r="AO197" s="537"/>
      <c r="AP197" s="537"/>
      <c r="AQ197" s="537"/>
      <c r="AR197" s="537"/>
      <c r="AS197" s="537"/>
      <c r="AT197" s="537"/>
      <c r="AU197" s="538" t="s">
        <v>1576</v>
      </c>
      <c r="AV197" s="539">
        <f>SUMIF(AL49:AL58,2,AY49:AY58)+SUMIF(AL68:AL77,2,AZ68:AZ77)+SUMIF(AL87:AL96,2,AZ87:AZ96)+SUMIF(AL106:AL115,2,AZ106:AZ115)+SUMIF(AL124:AL133,2,AV124:AV133)+SUMIF(AL143:AL152,2,AV143:AV152)+SUMIF(AL162:AL171,2,AY162:AY171)+SUMIF(AL181:AL190,2,AV181:AV190)</f>
        <v>0</v>
      </c>
      <c r="AW197" s="540">
        <f t="shared" ref="AW197:AW198" si="86">AV197*0.001</f>
        <v>0</v>
      </c>
    </row>
    <row r="198" spans="1:50" ht="15" customHeight="1">
      <c r="B198" s="536"/>
      <c r="C198" s="537"/>
      <c r="D198" s="537"/>
      <c r="E198" s="537"/>
      <c r="F198" s="537"/>
      <c r="G198" s="537"/>
      <c r="H198" s="537"/>
      <c r="I198" s="537"/>
      <c r="J198" s="537"/>
      <c r="K198" s="538" t="s">
        <v>1577</v>
      </c>
      <c r="L198" s="539">
        <f>SUMIF(B49:B58,3,O49:O58)+SUMIF(B68:B77,3,P68:P77)+SUMIF(B87:B96,3,P87:P96)+SUMIF(B106:B115,3,P106:P115)+SUMIF(B124:B133,3,L124:L133)+SUMIF(B143:B152,3,L143:L152)+SUMIF(B162:B171,3,O162:O171)+SUMIF(B181:B190,3,L181:L190)</f>
        <v>74177.837348626344</v>
      </c>
      <c r="M198" s="540">
        <f t="shared" si="84"/>
        <v>74.17783734862634</v>
      </c>
      <c r="T198" s="536"/>
      <c r="U198" s="537"/>
      <c r="V198" s="537"/>
      <c r="W198" s="537"/>
      <c r="X198" s="537"/>
      <c r="Y198" s="537"/>
      <c r="Z198" s="537"/>
      <c r="AA198" s="537"/>
      <c r="AB198" s="537"/>
      <c r="AC198" s="538" t="s">
        <v>1577</v>
      </c>
      <c r="AD198" s="539">
        <f>SUMIF(T49:T58,3,AG49:AG58)+SUMIF(T68:T77,3,AH68:AH77)+SUMIF(T87:T96,3,AH87:AH96)+SUMIF(T106:T115,3,AH106:AH115)+SUMIF(T124:T133,3,AD124:AD133)+SUMIF(T143:T152,3,AD143:AD152)+SUMIF(T162:T171,3,AG162:AG171)+SUMIF(T181:T190,3,AD181:AD190)</f>
        <v>0</v>
      </c>
      <c r="AE198" s="540">
        <f t="shared" si="85"/>
        <v>0</v>
      </c>
      <c r="AL198" s="536"/>
      <c r="AM198" s="537"/>
      <c r="AN198" s="537"/>
      <c r="AO198" s="537"/>
      <c r="AP198" s="537"/>
      <c r="AQ198" s="537"/>
      <c r="AR198" s="537"/>
      <c r="AS198" s="537"/>
      <c r="AT198" s="537"/>
      <c r="AU198" s="538" t="s">
        <v>1577</v>
      </c>
      <c r="AV198" s="539">
        <f>SUMIF(AL49:AL58,3,AY49:AY58)+SUMIF(AL68:AL77,3,AZ68:AZ77)+SUMIF(AL87:AL96,3,AZ87:AZ96)+SUMIF(AL106:AL115,3,AZ106:AZ115)+SUMIF(AL124:AL133,3,AV124:AV133)+SUMIF(AL143:AL152,3,AV143:AV152)+SUMIF(AL162:AL171,3,AY162:AY171)+SUMIF(AL181:AL190,3,AV181:AV190)</f>
        <v>0</v>
      </c>
      <c r="AW198" s="540">
        <f t="shared" si="86"/>
        <v>0</v>
      </c>
    </row>
    <row r="203" spans="1:50" ht="15" customHeight="1">
      <c r="A203" s="297"/>
    </row>
  </sheetData>
  <dataConsolidate/>
  <mergeCells count="645">
    <mergeCell ref="C189:D189"/>
    <mergeCell ref="C190:D190"/>
    <mergeCell ref="L49:N49"/>
    <mergeCell ref="L50:N50"/>
    <mergeCell ref="L51:N51"/>
    <mergeCell ref="L52:N52"/>
    <mergeCell ref="L53:N53"/>
    <mergeCell ref="L54:N54"/>
    <mergeCell ref="L55:N55"/>
    <mergeCell ref="L56:N56"/>
    <mergeCell ref="L57:N57"/>
    <mergeCell ref="L58:N58"/>
    <mergeCell ref="C102:D105"/>
    <mergeCell ref="C139:D142"/>
    <mergeCell ref="I120:K123"/>
    <mergeCell ref="L120:M122"/>
    <mergeCell ref="C64:D67"/>
    <mergeCell ref="C177:D180"/>
    <mergeCell ref="C181:D181"/>
    <mergeCell ref="C182:D182"/>
    <mergeCell ref="C183:D183"/>
    <mergeCell ref="C184:D184"/>
    <mergeCell ref="C185:D185"/>
    <mergeCell ref="C186:D186"/>
    <mergeCell ref="C188:D188"/>
    <mergeCell ref="B158:B161"/>
    <mergeCell ref="C162:D162"/>
    <mergeCell ref="C163:D163"/>
    <mergeCell ref="C164:D164"/>
    <mergeCell ref="C165:D165"/>
    <mergeCell ref="C166:D166"/>
    <mergeCell ref="C167:D167"/>
    <mergeCell ref="C168:D168"/>
    <mergeCell ref="C169:D169"/>
    <mergeCell ref="C132:D132"/>
    <mergeCell ref="C133:D133"/>
    <mergeCell ref="C120:D123"/>
    <mergeCell ref="C143:D143"/>
    <mergeCell ref="C144:D144"/>
    <mergeCell ref="C145:D145"/>
    <mergeCell ref="C146:D146"/>
    <mergeCell ref="C129:D129"/>
    <mergeCell ref="C187:D187"/>
    <mergeCell ref="C158:D161"/>
    <mergeCell ref="C170:D170"/>
    <mergeCell ref="C171:D171"/>
    <mergeCell ref="C96:D96"/>
    <mergeCell ref="C106:D106"/>
    <mergeCell ref="C107:D107"/>
    <mergeCell ref="C108:D108"/>
    <mergeCell ref="C109:D109"/>
    <mergeCell ref="C110:D110"/>
    <mergeCell ref="C111:D111"/>
    <mergeCell ref="C130:D130"/>
    <mergeCell ref="C131:D131"/>
    <mergeCell ref="C112:D112"/>
    <mergeCell ref="C113:D113"/>
    <mergeCell ref="C114:D114"/>
    <mergeCell ref="C115:D115"/>
    <mergeCell ref="C124:D124"/>
    <mergeCell ref="C125:D125"/>
    <mergeCell ref="C126:D126"/>
    <mergeCell ref="C127:D127"/>
    <mergeCell ref="C128:D128"/>
    <mergeCell ref="C87:D87"/>
    <mergeCell ref="C88:D88"/>
    <mergeCell ref="C89:D89"/>
    <mergeCell ref="C90:D90"/>
    <mergeCell ref="C91:D91"/>
    <mergeCell ref="C92:D92"/>
    <mergeCell ref="C93:D93"/>
    <mergeCell ref="C94:D94"/>
    <mergeCell ref="C95:D95"/>
    <mergeCell ref="C70:D70"/>
    <mergeCell ref="C71:D71"/>
    <mergeCell ref="C72:D72"/>
    <mergeCell ref="C73:D73"/>
    <mergeCell ref="C74:D74"/>
    <mergeCell ref="C75:D75"/>
    <mergeCell ref="C76:D76"/>
    <mergeCell ref="C77:D77"/>
    <mergeCell ref="C83:D86"/>
    <mergeCell ref="L102:L105"/>
    <mergeCell ref="M102:O105"/>
    <mergeCell ref="P102:Q104"/>
    <mergeCell ref="G102:G105"/>
    <mergeCell ref="H102:H105"/>
    <mergeCell ref="I102:I104"/>
    <mergeCell ref="J102:J105"/>
    <mergeCell ref="K102:K105"/>
    <mergeCell ref="E158:E161"/>
    <mergeCell ref="F158:F161"/>
    <mergeCell ref="O158:R159"/>
    <mergeCell ref="O160:P160"/>
    <mergeCell ref="Q160:R160"/>
    <mergeCell ref="F139:F142"/>
    <mergeCell ref="B102:B105"/>
    <mergeCell ref="E102:E105"/>
    <mergeCell ref="F102:F105"/>
    <mergeCell ref="G158:G160"/>
    <mergeCell ref="K45:K48"/>
    <mergeCell ref="M64:O67"/>
    <mergeCell ref="H64:H67"/>
    <mergeCell ref="K83:K86"/>
    <mergeCell ref="L83:L86"/>
    <mergeCell ref="M83:O86"/>
    <mergeCell ref="O45:P47"/>
    <mergeCell ref="L45:N48"/>
    <mergeCell ref="J45:J48"/>
    <mergeCell ref="K64:K67"/>
    <mergeCell ref="J64:J67"/>
    <mergeCell ref="L64:L67"/>
    <mergeCell ref="I45:I48"/>
    <mergeCell ref="I64:I66"/>
    <mergeCell ref="H142:I142"/>
    <mergeCell ref="P83:Q85"/>
    <mergeCell ref="P64:Q66"/>
    <mergeCell ref="H83:H86"/>
    <mergeCell ref="L139:M141"/>
    <mergeCell ref="B139:B142"/>
    <mergeCell ref="L163:N163"/>
    <mergeCell ref="L164:N164"/>
    <mergeCell ref="L165:N165"/>
    <mergeCell ref="L166:N166"/>
    <mergeCell ref="L167:N167"/>
    <mergeCell ref="L177:M179"/>
    <mergeCell ref="L158:N161"/>
    <mergeCell ref="L162:N162"/>
    <mergeCell ref="H177:H179"/>
    <mergeCell ref="L193:L194"/>
    <mergeCell ref="M193:M194"/>
    <mergeCell ref="L168:N168"/>
    <mergeCell ref="L169:N169"/>
    <mergeCell ref="L170:N170"/>
    <mergeCell ref="L171:N171"/>
    <mergeCell ref="B64:B67"/>
    <mergeCell ref="H161:I161"/>
    <mergeCell ref="H159:H160"/>
    <mergeCell ref="I159:I160"/>
    <mergeCell ref="J159:J160"/>
    <mergeCell ref="J161:K161"/>
    <mergeCell ref="J149:K149"/>
    <mergeCell ref="J150:K150"/>
    <mergeCell ref="J151:K151"/>
    <mergeCell ref="J152:K152"/>
    <mergeCell ref="H158:I158"/>
    <mergeCell ref="J158:K158"/>
    <mergeCell ref="K159:K160"/>
    <mergeCell ref="B177:B180"/>
    <mergeCell ref="G177:G179"/>
    <mergeCell ref="J190:K190"/>
    <mergeCell ref="J181:K181"/>
    <mergeCell ref="J182:K182"/>
    <mergeCell ref="B45:B48"/>
    <mergeCell ref="G64:G67"/>
    <mergeCell ref="E64:E67"/>
    <mergeCell ref="F64:F67"/>
    <mergeCell ref="B83:B86"/>
    <mergeCell ref="E83:E86"/>
    <mergeCell ref="F83:F86"/>
    <mergeCell ref="G83:G86"/>
    <mergeCell ref="E45:E48"/>
    <mergeCell ref="F45:F48"/>
    <mergeCell ref="G45:G48"/>
    <mergeCell ref="C49:D49"/>
    <mergeCell ref="C50:D50"/>
    <mergeCell ref="C51:D51"/>
    <mergeCell ref="C52:D52"/>
    <mergeCell ref="C53:D53"/>
    <mergeCell ref="C54:D54"/>
    <mergeCell ref="C55:D55"/>
    <mergeCell ref="C56:D56"/>
    <mergeCell ref="C57:D57"/>
    <mergeCell ref="C58:D58"/>
    <mergeCell ref="C45:D48"/>
    <mergeCell ref="C68:D68"/>
    <mergeCell ref="C69:D69"/>
    <mergeCell ref="H45:H47"/>
    <mergeCell ref="I83:I85"/>
    <mergeCell ref="J83:J86"/>
    <mergeCell ref="E139:E142"/>
    <mergeCell ref="G139:G141"/>
    <mergeCell ref="H139:H141"/>
    <mergeCell ref="I139:I141"/>
    <mergeCell ref="J147:K147"/>
    <mergeCell ref="J148:K148"/>
    <mergeCell ref="J139:K142"/>
    <mergeCell ref="J143:K143"/>
    <mergeCell ref="J144:K144"/>
    <mergeCell ref="J145:K145"/>
    <mergeCell ref="J146:K146"/>
    <mergeCell ref="J183:K183"/>
    <mergeCell ref="J184:K184"/>
    <mergeCell ref="J185:K185"/>
    <mergeCell ref="J186:K186"/>
    <mergeCell ref="J187:K187"/>
    <mergeCell ref="J177:K180"/>
    <mergeCell ref="J188:K188"/>
    <mergeCell ref="J189:K189"/>
    <mergeCell ref="B120:B123"/>
    <mergeCell ref="E120:E123"/>
    <mergeCell ref="F120:F122"/>
    <mergeCell ref="G120:G122"/>
    <mergeCell ref="H120:H122"/>
    <mergeCell ref="G123:H123"/>
    <mergeCell ref="F177:F180"/>
    <mergeCell ref="E177:E180"/>
    <mergeCell ref="H180:I180"/>
    <mergeCell ref="I177:I179"/>
    <mergeCell ref="C147:D147"/>
    <mergeCell ref="C148:D148"/>
    <mergeCell ref="C149:D149"/>
    <mergeCell ref="C150:D150"/>
    <mergeCell ref="C151:D151"/>
    <mergeCell ref="C152:D152"/>
    <mergeCell ref="T45:T48"/>
    <mergeCell ref="U45:V48"/>
    <mergeCell ref="W45:W48"/>
    <mergeCell ref="X45:X48"/>
    <mergeCell ref="Y45:Y48"/>
    <mergeCell ref="Z45:Z47"/>
    <mergeCell ref="AA45:AA48"/>
    <mergeCell ref="AB45:AB48"/>
    <mergeCell ref="AC45:AC48"/>
    <mergeCell ref="AD45:AF48"/>
    <mergeCell ref="AG45:AH47"/>
    <mergeCell ref="U49:V49"/>
    <mergeCell ref="AD49:AF49"/>
    <mergeCell ref="U50:V50"/>
    <mergeCell ref="AD50:AF50"/>
    <mergeCell ref="U51:V51"/>
    <mergeCell ref="AD51:AF51"/>
    <mergeCell ref="U52:V52"/>
    <mergeCell ref="AD52:AF52"/>
    <mergeCell ref="U53:V53"/>
    <mergeCell ref="AD53:AF53"/>
    <mergeCell ref="U54:V54"/>
    <mergeCell ref="AD54:AF54"/>
    <mergeCell ref="U55:V55"/>
    <mergeCell ref="AD55:AF55"/>
    <mergeCell ref="U56:V56"/>
    <mergeCell ref="AD56:AF56"/>
    <mergeCell ref="U57:V57"/>
    <mergeCell ref="AD57:AF57"/>
    <mergeCell ref="U58:V58"/>
    <mergeCell ref="AD58:AF58"/>
    <mergeCell ref="T64:T67"/>
    <mergeCell ref="U64:V67"/>
    <mergeCell ref="W64:W67"/>
    <mergeCell ref="X64:X67"/>
    <mergeCell ref="Y64:Y67"/>
    <mergeCell ref="Z64:Z67"/>
    <mergeCell ref="AA64:AA66"/>
    <mergeCell ref="AB64:AB67"/>
    <mergeCell ref="AC64:AC67"/>
    <mergeCell ref="AD64:AD67"/>
    <mergeCell ref="AE64:AG67"/>
    <mergeCell ref="AH64:AI66"/>
    <mergeCell ref="U68:V68"/>
    <mergeCell ref="U69:V69"/>
    <mergeCell ref="U70:V70"/>
    <mergeCell ref="U71:V71"/>
    <mergeCell ref="U72:V72"/>
    <mergeCell ref="U73:V73"/>
    <mergeCell ref="U74:V74"/>
    <mergeCell ref="U75:V75"/>
    <mergeCell ref="U76:V76"/>
    <mergeCell ref="U77:V77"/>
    <mergeCell ref="T83:T86"/>
    <mergeCell ref="U83:V86"/>
    <mergeCell ref="W83:W86"/>
    <mergeCell ref="X83:X86"/>
    <mergeCell ref="Y83:Y86"/>
    <mergeCell ref="Z83:Z86"/>
    <mergeCell ref="AA83:AA85"/>
    <mergeCell ref="AB83:AB86"/>
    <mergeCell ref="AC83:AC86"/>
    <mergeCell ref="AD83:AD86"/>
    <mergeCell ref="AE83:AG86"/>
    <mergeCell ref="AH83:AI85"/>
    <mergeCell ref="U87:V87"/>
    <mergeCell ref="U88:V88"/>
    <mergeCell ref="U89:V89"/>
    <mergeCell ref="U90:V90"/>
    <mergeCell ref="U91:V91"/>
    <mergeCell ref="U92:V92"/>
    <mergeCell ref="U93:V93"/>
    <mergeCell ref="U94:V94"/>
    <mergeCell ref="U95:V95"/>
    <mergeCell ref="U96:V96"/>
    <mergeCell ref="T102:T105"/>
    <mergeCell ref="U102:V105"/>
    <mergeCell ref="W102:W105"/>
    <mergeCell ref="X102:X105"/>
    <mergeCell ref="Y102:Y105"/>
    <mergeCell ref="Z102:Z105"/>
    <mergeCell ref="AA102:AA104"/>
    <mergeCell ref="AB102:AB105"/>
    <mergeCell ref="AC102:AC105"/>
    <mergeCell ref="AD102:AD105"/>
    <mergeCell ref="AE102:AG105"/>
    <mergeCell ref="AH102:AI104"/>
    <mergeCell ref="U106:V106"/>
    <mergeCell ref="U107:V107"/>
    <mergeCell ref="U108:V108"/>
    <mergeCell ref="U109:V109"/>
    <mergeCell ref="U110:V110"/>
    <mergeCell ref="U111:V111"/>
    <mergeCell ref="U112:V112"/>
    <mergeCell ref="U113:V113"/>
    <mergeCell ref="U114:V114"/>
    <mergeCell ref="U115:V115"/>
    <mergeCell ref="T120:T123"/>
    <mergeCell ref="U120:V123"/>
    <mergeCell ref="W120:W123"/>
    <mergeCell ref="X120:X122"/>
    <mergeCell ref="Y120:Y122"/>
    <mergeCell ref="Z120:Z122"/>
    <mergeCell ref="AA120:AC123"/>
    <mergeCell ref="AD120:AE122"/>
    <mergeCell ref="Y123:Z123"/>
    <mergeCell ref="U124:V124"/>
    <mergeCell ref="U125:V125"/>
    <mergeCell ref="U126:V126"/>
    <mergeCell ref="U127:V127"/>
    <mergeCell ref="U128:V128"/>
    <mergeCell ref="U129:V129"/>
    <mergeCell ref="U130:V130"/>
    <mergeCell ref="U131:V131"/>
    <mergeCell ref="U132:V132"/>
    <mergeCell ref="U133:V133"/>
    <mergeCell ref="T139:T142"/>
    <mergeCell ref="U139:V142"/>
    <mergeCell ref="W139:W142"/>
    <mergeCell ref="X139:X142"/>
    <mergeCell ref="Y139:Y141"/>
    <mergeCell ref="Z139:Z141"/>
    <mergeCell ref="AA139:AA141"/>
    <mergeCell ref="AB139:AC142"/>
    <mergeCell ref="AD139:AE141"/>
    <mergeCell ref="Z142:AA142"/>
    <mergeCell ref="U143:V143"/>
    <mergeCell ref="AB143:AC143"/>
    <mergeCell ref="U144:V144"/>
    <mergeCell ref="AB144:AC144"/>
    <mergeCell ref="U145:V145"/>
    <mergeCell ref="AB145:AC145"/>
    <mergeCell ref="U146:V146"/>
    <mergeCell ref="AB146:AC146"/>
    <mergeCell ref="U147:V147"/>
    <mergeCell ref="AB147:AC147"/>
    <mergeCell ref="U148:V148"/>
    <mergeCell ref="AB148:AC148"/>
    <mergeCell ref="U149:V149"/>
    <mergeCell ref="AB149:AC149"/>
    <mergeCell ref="U150:V150"/>
    <mergeCell ref="AB150:AC150"/>
    <mergeCell ref="U151:V151"/>
    <mergeCell ref="AB151:AC151"/>
    <mergeCell ref="U152:V152"/>
    <mergeCell ref="AB152:AC152"/>
    <mergeCell ref="T158:T161"/>
    <mergeCell ref="U158:V161"/>
    <mergeCell ref="W158:W161"/>
    <mergeCell ref="X158:X161"/>
    <mergeCell ref="Y158:Y160"/>
    <mergeCell ref="Z158:AA158"/>
    <mergeCell ref="AB158:AC158"/>
    <mergeCell ref="AD158:AF161"/>
    <mergeCell ref="AG158:AJ159"/>
    <mergeCell ref="Z159:Z160"/>
    <mergeCell ref="AA159:AA160"/>
    <mergeCell ref="AB159:AB160"/>
    <mergeCell ref="AC159:AC160"/>
    <mergeCell ref="AG160:AH160"/>
    <mergeCell ref="AI160:AJ160"/>
    <mergeCell ref="Z161:AA161"/>
    <mergeCell ref="AB161:AC161"/>
    <mergeCell ref="U162:V162"/>
    <mergeCell ref="AD162:AF162"/>
    <mergeCell ref="U163:V163"/>
    <mergeCell ref="AD163:AF163"/>
    <mergeCell ref="U164:V164"/>
    <mergeCell ref="AD164:AF164"/>
    <mergeCell ref="U165:V165"/>
    <mergeCell ref="AD165:AF165"/>
    <mergeCell ref="U166:V166"/>
    <mergeCell ref="AD166:AF166"/>
    <mergeCell ref="U167:V167"/>
    <mergeCell ref="AD167:AF167"/>
    <mergeCell ref="U168:V168"/>
    <mergeCell ref="AD168:AF168"/>
    <mergeCell ref="U169:V169"/>
    <mergeCell ref="AD169:AF169"/>
    <mergeCell ref="U170:V170"/>
    <mergeCell ref="AD170:AF170"/>
    <mergeCell ref="U171:V171"/>
    <mergeCell ref="AD171:AF171"/>
    <mergeCell ref="T177:T180"/>
    <mergeCell ref="U177:V180"/>
    <mergeCell ref="W177:W180"/>
    <mergeCell ref="X177:X180"/>
    <mergeCell ref="Y177:Y179"/>
    <mergeCell ref="Z177:Z179"/>
    <mergeCell ref="AA177:AA179"/>
    <mergeCell ref="AB177:AC180"/>
    <mergeCell ref="AD177:AE179"/>
    <mergeCell ref="Z180:AA180"/>
    <mergeCell ref="U181:V181"/>
    <mergeCell ref="AB181:AC181"/>
    <mergeCell ref="U182:V182"/>
    <mergeCell ref="AB182:AC182"/>
    <mergeCell ref="U183:V183"/>
    <mergeCell ref="AB183:AC183"/>
    <mergeCell ref="U184:V184"/>
    <mergeCell ref="AB184:AC184"/>
    <mergeCell ref="U185:V185"/>
    <mergeCell ref="AB185:AC185"/>
    <mergeCell ref="U186:V186"/>
    <mergeCell ref="AB186:AC186"/>
    <mergeCell ref="U187:V187"/>
    <mergeCell ref="AB187:AC187"/>
    <mergeCell ref="U188:V188"/>
    <mergeCell ref="AB188:AC188"/>
    <mergeCell ref="U189:V189"/>
    <mergeCell ref="AB189:AC189"/>
    <mergeCell ref="U190:V190"/>
    <mergeCell ref="AB190:AC190"/>
    <mergeCell ref="AD193:AD194"/>
    <mergeCell ref="AE193:AE194"/>
    <mergeCell ref="AL45:AL48"/>
    <mergeCell ref="AM45:AN48"/>
    <mergeCell ref="AO45:AO48"/>
    <mergeCell ref="AP45:AP48"/>
    <mergeCell ref="AQ45:AQ48"/>
    <mergeCell ref="AR45:AR47"/>
    <mergeCell ref="AS45:AS48"/>
    <mergeCell ref="AM52:AN52"/>
    <mergeCell ref="AM57:AN57"/>
    <mergeCell ref="AM76:AN76"/>
    <mergeCell ref="AM77:AN77"/>
    <mergeCell ref="AL83:AL86"/>
    <mergeCell ref="AM83:AN86"/>
    <mergeCell ref="AO83:AO86"/>
    <mergeCell ref="AP83:AP86"/>
    <mergeCell ref="AQ83:AQ86"/>
    <mergeCell ref="AR83:AR86"/>
    <mergeCell ref="AS83:AS85"/>
    <mergeCell ref="AM91:AN91"/>
    <mergeCell ref="AM92:AN92"/>
    <mergeCell ref="AM93:AN93"/>
    <mergeCell ref="AM94:AN94"/>
    <mergeCell ref="AT45:AT48"/>
    <mergeCell ref="AU45:AU48"/>
    <mergeCell ref="AV45:AX48"/>
    <mergeCell ref="AY45:AZ47"/>
    <mergeCell ref="AM49:AN49"/>
    <mergeCell ref="AV49:AX49"/>
    <mergeCell ref="AM50:AN50"/>
    <mergeCell ref="AV50:AX50"/>
    <mergeCell ref="AM51:AN51"/>
    <mergeCell ref="AV51:AX51"/>
    <mergeCell ref="AV52:AX52"/>
    <mergeCell ref="AM53:AN53"/>
    <mergeCell ref="AV53:AX53"/>
    <mergeCell ref="AM54:AN54"/>
    <mergeCell ref="AV54:AX54"/>
    <mergeCell ref="AM55:AN55"/>
    <mergeCell ref="AV55:AX55"/>
    <mergeCell ref="AM56:AN56"/>
    <mergeCell ref="AV56:AX56"/>
    <mergeCell ref="AV57:AX57"/>
    <mergeCell ref="AM58:AN58"/>
    <mergeCell ref="AV58:AX58"/>
    <mergeCell ref="AL64:AL67"/>
    <mergeCell ref="AM64:AN67"/>
    <mergeCell ref="AO64:AO67"/>
    <mergeCell ref="AP64:AP67"/>
    <mergeCell ref="AQ64:AQ67"/>
    <mergeCell ref="AR64:AR67"/>
    <mergeCell ref="AS64:AS66"/>
    <mergeCell ref="AT64:AT67"/>
    <mergeCell ref="AU64:AU67"/>
    <mergeCell ref="AV64:AV67"/>
    <mergeCell ref="AW64:AY67"/>
    <mergeCell ref="AZ64:BA66"/>
    <mergeCell ref="AM68:AN68"/>
    <mergeCell ref="AM69:AN69"/>
    <mergeCell ref="AM70:AN70"/>
    <mergeCell ref="AM71:AN71"/>
    <mergeCell ref="AM72:AN72"/>
    <mergeCell ref="AM73:AN73"/>
    <mergeCell ref="AM74:AN74"/>
    <mergeCell ref="AM75:AN75"/>
    <mergeCell ref="AT83:AT86"/>
    <mergeCell ref="AU83:AU86"/>
    <mergeCell ref="AV83:AV86"/>
    <mergeCell ref="AW83:AY86"/>
    <mergeCell ref="AZ83:BA85"/>
    <mergeCell ref="AM87:AN87"/>
    <mergeCell ref="AM88:AN88"/>
    <mergeCell ref="AM89:AN89"/>
    <mergeCell ref="AM90:AN90"/>
    <mergeCell ref="AM95:AN95"/>
    <mergeCell ref="AM96:AN96"/>
    <mergeCell ref="AL102:AL105"/>
    <mergeCell ref="AM102:AN105"/>
    <mergeCell ref="AO102:AO105"/>
    <mergeCell ref="AP102:AP105"/>
    <mergeCell ref="AQ102:AQ105"/>
    <mergeCell ref="AR102:AR105"/>
    <mergeCell ref="AS102:AS104"/>
    <mergeCell ref="AT102:AT105"/>
    <mergeCell ref="AU102:AU105"/>
    <mergeCell ref="AV102:AV105"/>
    <mergeCell ref="AW102:AY105"/>
    <mergeCell ref="AZ102:BA104"/>
    <mergeCell ref="AM106:AN106"/>
    <mergeCell ref="AM107:AN107"/>
    <mergeCell ref="AM108:AN108"/>
    <mergeCell ref="AM109:AN109"/>
    <mergeCell ref="AM110:AN110"/>
    <mergeCell ref="AM111:AN111"/>
    <mergeCell ref="AM112:AN112"/>
    <mergeCell ref="AM113:AN113"/>
    <mergeCell ref="AM114:AN114"/>
    <mergeCell ref="AM115:AN115"/>
    <mergeCell ref="AL120:AL123"/>
    <mergeCell ref="AM120:AN123"/>
    <mergeCell ref="AO120:AO123"/>
    <mergeCell ref="AP120:AP122"/>
    <mergeCell ref="AQ120:AQ122"/>
    <mergeCell ref="AR120:AR122"/>
    <mergeCell ref="AS120:AU123"/>
    <mergeCell ref="AV120:AW122"/>
    <mergeCell ref="AQ123:AR123"/>
    <mergeCell ref="AM124:AN124"/>
    <mergeCell ref="AM125:AN125"/>
    <mergeCell ref="AM126:AN126"/>
    <mergeCell ref="AM127:AN127"/>
    <mergeCell ref="AM128:AN128"/>
    <mergeCell ref="AM129:AN129"/>
    <mergeCell ref="AM130:AN130"/>
    <mergeCell ref="AM131:AN131"/>
    <mergeCell ref="AM132:AN132"/>
    <mergeCell ref="AM133:AN133"/>
    <mergeCell ref="AL139:AL142"/>
    <mergeCell ref="AM139:AN142"/>
    <mergeCell ref="AO139:AO142"/>
    <mergeCell ref="AP139:AP142"/>
    <mergeCell ref="AQ139:AQ141"/>
    <mergeCell ref="AR139:AR141"/>
    <mergeCell ref="AS139:AS141"/>
    <mergeCell ref="AT139:AU142"/>
    <mergeCell ref="AV139:AW141"/>
    <mergeCell ref="AR142:AS142"/>
    <mergeCell ref="AM143:AN143"/>
    <mergeCell ref="AT143:AU143"/>
    <mergeCell ref="AM144:AN144"/>
    <mergeCell ref="AT144:AU144"/>
    <mergeCell ref="AM145:AN145"/>
    <mergeCell ref="AT145:AU145"/>
    <mergeCell ref="AM146:AN146"/>
    <mergeCell ref="AT146:AU146"/>
    <mergeCell ref="AM147:AN147"/>
    <mergeCell ref="AT147:AU147"/>
    <mergeCell ref="AM148:AN148"/>
    <mergeCell ref="AT148:AU148"/>
    <mergeCell ref="AM149:AN149"/>
    <mergeCell ref="AT149:AU149"/>
    <mergeCell ref="AM150:AN150"/>
    <mergeCell ref="AT150:AU150"/>
    <mergeCell ref="AM151:AN151"/>
    <mergeCell ref="AT151:AU151"/>
    <mergeCell ref="AM152:AN152"/>
    <mergeCell ref="AT152:AU152"/>
    <mergeCell ref="AL158:AL161"/>
    <mergeCell ref="AM158:AN161"/>
    <mergeCell ref="AO158:AO161"/>
    <mergeCell ref="AP158:AP161"/>
    <mergeCell ref="AQ158:AQ160"/>
    <mergeCell ref="AR158:AS158"/>
    <mergeCell ref="AT158:AU158"/>
    <mergeCell ref="AV158:AX161"/>
    <mergeCell ref="AY158:BB159"/>
    <mergeCell ref="AR159:AR160"/>
    <mergeCell ref="AS159:AS160"/>
    <mergeCell ref="AT159:AT160"/>
    <mergeCell ref="AU159:AU160"/>
    <mergeCell ref="AY160:AZ160"/>
    <mergeCell ref="BA160:BB160"/>
    <mergeCell ref="AR161:AS161"/>
    <mergeCell ref="AT161:AU161"/>
    <mergeCell ref="AM162:AN162"/>
    <mergeCell ref="AV162:AX162"/>
    <mergeCell ref="AM163:AN163"/>
    <mergeCell ref="AV163:AX163"/>
    <mergeCell ref="AM164:AN164"/>
    <mergeCell ref="AV164:AX164"/>
    <mergeCell ref="AM165:AN165"/>
    <mergeCell ref="AV165:AX165"/>
    <mergeCell ref="AM166:AN166"/>
    <mergeCell ref="AV166:AX166"/>
    <mergeCell ref="AM167:AN167"/>
    <mergeCell ref="AV167:AX167"/>
    <mergeCell ref="AM168:AN168"/>
    <mergeCell ref="AV168:AX168"/>
    <mergeCell ref="AM169:AN169"/>
    <mergeCell ref="AV169:AX169"/>
    <mergeCell ref="AM170:AN170"/>
    <mergeCell ref="AV170:AX170"/>
    <mergeCell ref="AM171:AN171"/>
    <mergeCell ref="AV171:AX171"/>
    <mergeCell ref="AL177:AL180"/>
    <mergeCell ref="AM177:AN180"/>
    <mergeCell ref="AO177:AO180"/>
    <mergeCell ref="AP177:AP180"/>
    <mergeCell ref="AQ177:AQ179"/>
    <mergeCell ref="AR177:AR179"/>
    <mergeCell ref="AS177:AS179"/>
    <mergeCell ref="AT177:AU180"/>
    <mergeCell ref="AV177:AW179"/>
    <mergeCell ref="AR180:AS180"/>
    <mergeCell ref="AM181:AN181"/>
    <mergeCell ref="AT181:AU181"/>
    <mergeCell ref="AM182:AN182"/>
    <mergeCell ref="AT182:AU182"/>
    <mergeCell ref="AM183:AN183"/>
    <mergeCell ref="AT183:AU183"/>
    <mergeCell ref="AM184:AN184"/>
    <mergeCell ref="AT184:AU184"/>
    <mergeCell ref="AM185:AN185"/>
    <mergeCell ref="AT185:AU185"/>
    <mergeCell ref="AV193:AV194"/>
    <mergeCell ref="AW193:AW194"/>
    <mergeCell ref="AM186:AN186"/>
    <mergeCell ref="AT186:AU186"/>
    <mergeCell ref="AM187:AN187"/>
    <mergeCell ref="AT187:AU187"/>
    <mergeCell ref="AM188:AN188"/>
    <mergeCell ref="AT188:AU188"/>
    <mergeCell ref="AM189:AN189"/>
    <mergeCell ref="AT189:AU189"/>
    <mergeCell ref="AM190:AN190"/>
    <mergeCell ref="AT190:AU190"/>
  </mergeCells>
  <phoneticPr fontId="35" type="noConversion"/>
  <conditionalFormatting sqref="F119:I119">
    <cfRule type="expression" dxfId="86" priority="37" stopIfTrue="1">
      <formula>NOT(F119="")</formula>
    </cfRule>
  </conditionalFormatting>
  <conditionalFormatting sqref="F49:F58">
    <cfRule type="expression" dxfId="85" priority="48">
      <formula>OR(C49="Kaubik (bensiin), km",C49="Kaubik (kütuseliik pole teada), km",C49="Kaubik (biodiisel FAME), km", C49="Kaubik (biodiisel HVO), km",C49="Kaubik (diisel), km",C49="Kaubik (taastuvelekter), km")</formula>
    </cfRule>
  </conditionalFormatting>
  <conditionalFormatting sqref="F68 F87 F106">
    <cfRule type="expression" dxfId="84" priority="49">
      <formula>OR(C68="Kaubik (bensiin), km",C68="Kaubik (bensiin/diisel keskmine), km",C68="Kaubik (biodiisel FAME), km", C68="Kaubik (biodiisel HVO), km",C68="Kaubik (diisel), km",C68="Kaubik (taastuvelekter), km")</formula>
    </cfRule>
  </conditionalFormatting>
  <conditionalFormatting sqref="H68:H77">
    <cfRule type="expression" dxfId="83" priority="50">
      <formula>OR(C68="Keskmine (7,5 t–20 t), biodiisel (FAME), km",C68="Keskmine (7,5 t–20 t), biodiisel (HVO), km",C68="Keskmine (7,5 t–20 t), diisel, km",C68="Suurus teadmata, biodiisel (FAME), km",C68="Suurus teadmata, biodiisel (HVO), km",C68="Suurus teadmata, diisel, km",C68="Suur (&gt;20 t), biodiisel (FAME), km",C68="Suur (&gt;20 t), biodiisel (HVO), km",C68="Suur (&gt;20 t), diisel, km",C68="Väike (&lt;7,5 t), biodiisel (FAME), km",C68="Väike (&lt;7,5 t), biodiisel (HVO), km",C68="Väike (&lt;7,5 t), diisel, km")</formula>
    </cfRule>
  </conditionalFormatting>
  <conditionalFormatting sqref="H87:H96">
    <cfRule type="expression" dxfId="82" priority="52">
      <formula>OR(C87="Keskmine (&gt;3,5–32 t), biodiisel (FAME), km",C87="Keskmine (&gt;3,5–32 t), biodiisel (HVO), km",C87="Keskmine (&gt;3,5–32 t), diisel, km", C87="Suurus teadmata, biodiisel (FAME), km",C87="Suurus teadmata, biodiisel (HVO), km",C87="Suurus teadmata, diisel, km",C87="Suur (&gt;32 t), biodiisel (FAME), km",C87="Suurus teadmata, diisel, km",C87="Suur (&gt;32 t), biodiisel (HVO), km", C87="Keskmine (&gt;3,5–32 t), diisel, km")</formula>
    </cfRule>
  </conditionalFormatting>
  <conditionalFormatting sqref="H106:H115">
    <cfRule type="expression" dxfId="81" priority="54">
      <formula>OR(C106="Veoauto tüüp ja suurus teadmata, biodiisel (FAME), km",C106="Veoauto tüüp ja suurus teadmata, biodiisel (HVO), km",C106="Veoauto tüüp ja suurus teadmata, diisel, km")</formula>
    </cfRule>
  </conditionalFormatting>
  <conditionalFormatting sqref="L49:L58">
    <cfRule type="expression" dxfId="80" priority="36">
      <formula>$H49="Ei"</formula>
    </cfRule>
  </conditionalFormatting>
  <conditionalFormatting sqref="M68:O77">
    <cfRule type="expression" dxfId="79" priority="35">
      <formula>$I68="Ei"</formula>
    </cfRule>
  </conditionalFormatting>
  <conditionalFormatting sqref="M87:O96">
    <cfRule type="expression" dxfId="78" priority="34">
      <formula>$I87="Ei"</formula>
    </cfRule>
  </conditionalFormatting>
  <conditionalFormatting sqref="M106:O115">
    <cfRule type="expression" dxfId="77" priority="33">
      <formula>$I106="Ei"</formula>
    </cfRule>
  </conditionalFormatting>
  <conditionalFormatting sqref="I124:K133">
    <cfRule type="expression" dxfId="76" priority="32">
      <formula>$F124="Ei"</formula>
    </cfRule>
  </conditionalFormatting>
  <conditionalFormatting sqref="J143:K152">
    <cfRule type="expression" dxfId="75" priority="31">
      <formula>$G143="Ei"</formula>
    </cfRule>
  </conditionalFormatting>
  <conditionalFormatting sqref="L162:N171">
    <cfRule type="expression" dxfId="74" priority="30">
      <formula>$G162="Ei"</formula>
    </cfRule>
  </conditionalFormatting>
  <conditionalFormatting sqref="J181:K190">
    <cfRule type="expression" dxfId="73" priority="29">
      <formula>$G181="Ei"</formula>
    </cfRule>
  </conditionalFormatting>
  <conditionalFormatting sqref="X119:AA119">
    <cfRule type="expression" dxfId="72" priority="23" stopIfTrue="1">
      <formula>NOT(X119="")</formula>
    </cfRule>
  </conditionalFormatting>
  <conditionalFormatting sqref="X49:X58">
    <cfRule type="expression" dxfId="71" priority="24">
      <formula>OR(U49="Kaubik (bensiin), km",U49="Kaubik (kütuseliik pole teada), km",U49="Kaubik (biodiisel FAME), km", U49="Kaubik (biodiisel HVO), km",U49="Kaubik (diisel), km",U49="Kaubik (taastuvelekter), km")</formula>
    </cfRule>
  </conditionalFormatting>
  <conditionalFormatting sqref="X68 X87 X106">
    <cfRule type="expression" dxfId="70" priority="25">
      <formula>OR(U68="Kaubik (bensiin), km",U68="Kaubik (bensiin/diisel keskmine), km",U68="Kaubik (biodiisel FAME), km", U68="Kaubik (biodiisel HVO), km",U68="Kaubik (diisel), km",U68="Kaubik (taastuvelekter), km")</formula>
    </cfRule>
  </conditionalFormatting>
  <conditionalFormatting sqref="Z68:Z77">
    <cfRule type="expression" dxfId="69" priority="26">
      <formula>OR(U68="Keskmine (7,5 t–20 t), biodiisel (FAME), km",U68="Keskmine (7,5 t–20 t), biodiisel (HVO), km",U68="Keskmine (7,5 t–20 t), diisel, km",U68="Suurus teadmata, biodiisel (FAME), km",U68="Suurus teadmata, biodiisel (HVO), km",U68="Suurus teadmata, diisel, km",U68="Suur (&gt;20 t), biodiisel (FAME), km",U68="Suur (&gt;20 t), biodiisel (HVO), km",U68="Suur (&gt;20 t), diisel, km",U68="Väike (&lt;7,5 t), biodiisel (FAME), km",U68="Väike (&lt;7,5 t), biodiisel (HVO), km",U68="Väike (&lt;7,5 t), diisel, km")</formula>
    </cfRule>
  </conditionalFormatting>
  <conditionalFormatting sqref="Z87:Z96">
    <cfRule type="expression" dxfId="68" priority="27">
      <formula>OR(U87="Keskmine (&gt;3,5–32 t), biodiisel (FAME), km",U87="Keskmine (&gt;3,5–32 t), biodiisel (HVO), km",U87="Keskmine (&gt;3,5–32 t), diisel, km", U87="Suurus teadmata, biodiisel (FAME), km",U87="Suurus teadmata, biodiisel (HVO), km",U87="Suurus teadmata, diisel, km",U87="Suur (&gt;32 t), biodiisel (FAME), km",U87="Suurus teadmata, diisel, km",U87="Suur (&gt;32 t), biodiisel (HVO), km", U87="Keskmine (&gt;3,5–32 t), diisel, km")</formula>
    </cfRule>
  </conditionalFormatting>
  <conditionalFormatting sqref="Z106:Z115">
    <cfRule type="expression" dxfId="67" priority="28">
      <formula>OR(U106="Veoauto tüüp ja suurus teadmata, biodiisel (FAME), km",U106="Veoauto tüüp ja suurus teadmata, biodiisel (HVO), km",U106="Veoauto tüüp ja suurus teadmata, diisel, km")</formula>
    </cfRule>
  </conditionalFormatting>
  <conditionalFormatting sqref="AD49:AD58">
    <cfRule type="expression" dxfId="66" priority="22">
      <formula>$Z49="Ei"</formula>
    </cfRule>
  </conditionalFormatting>
  <conditionalFormatting sqref="AE68:AG77">
    <cfRule type="expression" dxfId="65" priority="21">
      <formula>$AA68="Ei"</formula>
    </cfRule>
  </conditionalFormatting>
  <conditionalFormatting sqref="AE87:AG96">
    <cfRule type="expression" dxfId="64" priority="20">
      <formula>$AA87="Ei"</formula>
    </cfRule>
  </conditionalFormatting>
  <conditionalFormatting sqref="AE106:AG115">
    <cfRule type="expression" dxfId="63" priority="19">
      <formula>$AA106="Ei"</formula>
    </cfRule>
  </conditionalFormatting>
  <conditionalFormatting sqref="AA124:AC133">
    <cfRule type="expression" dxfId="62" priority="18">
      <formula>$X124="Ei"</formula>
    </cfRule>
  </conditionalFormatting>
  <conditionalFormatting sqref="AB143:AC152">
    <cfRule type="expression" dxfId="61" priority="17">
      <formula>$Y143="Ei"</formula>
    </cfRule>
  </conditionalFormatting>
  <conditionalFormatting sqref="AD162:AF171">
    <cfRule type="expression" dxfId="60" priority="16">
      <formula>$Y162="Ei"</formula>
    </cfRule>
  </conditionalFormatting>
  <conditionalFormatting sqref="AB181:AC190">
    <cfRule type="expression" dxfId="59" priority="15">
      <formula>$Y181="Ei"</formula>
    </cfRule>
  </conditionalFormatting>
  <conditionalFormatting sqref="AP119:AS119">
    <cfRule type="expression" dxfId="58" priority="9" stopIfTrue="1">
      <formula>NOT(AP119="")</formula>
    </cfRule>
  </conditionalFormatting>
  <conditionalFormatting sqref="AP49:AP58">
    <cfRule type="expression" dxfId="57" priority="10">
      <formula>OR(AM49="Kaubik (bensiin), km",AM49="Kaubik (kütuseliik pole teada), km",AM49="Kaubik (biodiisel FAME), km", AM49="Kaubik (biodiisel HVO), km",AM49="Kaubik (diisel), km",AM49="Kaubik (taastuvelekter), km")</formula>
    </cfRule>
  </conditionalFormatting>
  <conditionalFormatting sqref="AP68 AP87 AP106">
    <cfRule type="expression" dxfId="56" priority="11">
      <formula>OR(AM68="Kaubik (bensiin), km",AM68="Kaubik (bensiin/diisel keskmine), km",AM68="Kaubik (biodiisel FAME), km", AM68="Kaubik (biodiisel HVO), km",AM68="Kaubik (diisel), km",AM68="Kaubik (taastuvelekter), km")</formula>
    </cfRule>
  </conditionalFormatting>
  <conditionalFormatting sqref="AR68:AR77">
    <cfRule type="expression" dxfId="55" priority="12">
      <formula>OR(AM68="Keskmine (7,5 t–20 t), biodiisel (FAME), km",AM68="Keskmine (7,5 t–20 t), biodiisel (HVO), km",AM68="Keskmine (7,5 t–20 t), diisel, km",AM68="Suurus teadmata, biodiisel (FAME), km",AM68="Suurus teadmata, biodiisel (HVO), km",AM68="Suurus teadmata, diisel, km",AM68="Suur (&gt;20 t), biodiisel (FAME), km",AM68="Suur (&gt;20 t), biodiisel (HVO), km",AM68="Suur (&gt;20 t), diisel, km",AM68="Väike (&lt;7,5 t), biodiisel (FAME), km",AM68="Väike (&lt;7,5 t), biodiisel (HVO), km",AM68="Väike (&lt;7,5 t), diisel, km")</formula>
    </cfRule>
  </conditionalFormatting>
  <conditionalFormatting sqref="AR87:AR96">
    <cfRule type="expression" dxfId="54" priority="13">
      <formula>OR(AM87="Keskmine (&gt;3,5–32 t), biodiisel (FAME), km",AM87="Keskmine (&gt;3,5–32 t), biodiisel (HVO), km",AM87="Keskmine (&gt;3,5–32 t), diisel, km", AM87="Suurus teadmata, biodiisel (FAME), km",AM87="Suurus teadmata, biodiisel (HVO), km",AM87="Suurus teadmata, diisel, km",AM87="Suur (&gt;32 t), biodiisel (FAME), km",AM87="Suurus teadmata, diisel, km",AM87="Suur (&gt;32 t), biodiisel (HVO), km", AM87="Keskmine (&gt;3,5–32 t), diisel, km")</formula>
    </cfRule>
  </conditionalFormatting>
  <conditionalFormatting sqref="AR106:AR115">
    <cfRule type="expression" dxfId="53" priority="14">
      <formula>OR(AM106="Veoauto tüüp ja suurus teadmata, biodiisel (FAME), km",AM106="Veoauto tüüp ja suurus teadmata, biodiisel (HVO), km",AM106="Veoauto tüüp ja suurus teadmata, diisel, km")</formula>
    </cfRule>
  </conditionalFormatting>
  <conditionalFormatting sqref="AV49:AV58">
    <cfRule type="expression" dxfId="52" priority="8">
      <formula>$AR49="Ei"</formula>
    </cfRule>
  </conditionalFormatting>
  <conditionalFormatting sqref="AW68:AY77">
    <cfRule type="expression" dxfId="51" priority="7">
      <formula>$AS68="Ei"</formula>
    </cfRule>
  </conditionalFormatting>
  <conditionalFormatting sqref="AW87:AY96">
    <cfRule type="expression" dxfId="50" priority="6">
      <formula>$AS87="Ei"</formula>
    </cfRule>
  </conditionalFormatting>
  <conditionalFormatting sqref="AW106:AY115">
    <cfRule type="expression" dxfId="49" priority="5">
      <formula>$AS106="Ei"</formula>
    </cfRule>
  </conditionalFormatting>
  <conditionalFormatting sqref="AS124:AU133">
    <cfRule type="expression" dxfId="48" priority="4">
      <formula>$AP124="Ei"</formula>
    </cfRule>
  </conditionalFormatting>
  <conditionalFormatting sqref="AT143:AU152">
    <cfRule type="expression" dxfId="47" priority="3">
      <formula>$AQ143="Ei"</formula>
    </cfRule>
  </conditionalFormatting>
  <conditionalFormatting sqref="AV162:AX171">
    <cfRule type="expression" dxfId="46" priority="2">
      <formula>$AQ162="Ei"</formula>
    </cfRule>
  </conditionalFormatting>
  <conditionalFormatting sqref="AT181:AU190">
    <cfRule type="expression" dxfId="45" priority="1">
      <formula>$AQ181="Ei"</formula>
    </cfRule>
  </conditionalFormatting>
  <hyperlinks>
    <hyperlink ref="A2" location="Sisukord!A1" display="Sisukor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'HT-Transport (M3)'!$C$22:$D$22</xm:f>
          </x14:formula1>
          <xm:sqref>H68:H77 H106:H115 H87:H96 Z68:Z77 Z106:Z115 Z87:Z96 AR68:AR77 AR106:AR115 AR87:AR96</xm:sqref>
        </x14:dataValidation>
        <x14:dataValidation type="list" allowBlank="1" showInputMessage="1" showErrorMessage="1">
          <x14:formula1>
            <xm:f>'HT-Transport (M3)'!$B$5:$B$16</xm:f>
          </x14:formula1>
          <xm:sqref>C49:D58 U49:V58 AM49:AN58</xm:sqref>
        </x14:dataValidation>
        <x14:dataValidation type="list" allowBlank="1" showInputMessage="1" showErrorMessage="1">
          <x14:formula1>
            <xm:f>'HT-Transport (M3)'!$B$23:$B$46</xm:f>
          </x14:formula1>
          <xm:sqref>C68:D77 U68:V77 AM68:AN77</xm:sqref>
        </x14:dataValidation>
        <x14:dataValidation type="list" allowBlank="1" showInputMessage="1" showErrorMessage="1">
          <x14:formula1>
            <xm:f>'HT-Transport (M3)'!$B$51:$B$68</xm:f>
          </x14:formula1>
          <xm:sqref>C87:D96 U87:V96 AM87:AN96</xm:sqref>
        </x14:dataValidation>
        <x14:dataValidation type="list" allowBlank="1" showInputMessage="1" showErrorMessage="1">
          <x14:formula1>
            <xm:f>'HT-Transport (M3)'!$B$73:$B$78</xm:f>
          </x14:formula1>
          <xm:sqref>C106:D115 U106:V115 AM106:AN115</xm:sqref>
        </x14:dataValidation>
        <x14:dataValidation type="list" allowBlank="1" showInputMessage="1" showErrorMessage="1">
          <x14:formula1>
            <xm:f>'HT-Transport (M3)'!$B$82:$B$83</xm:f>
          </x14:formula1>
          <xm:sqref>C124:D133 U124:V133 AM124:AN133</xm:sqref>
        </x14:dataValidation>
        <x14:dataValidation type="list" allowBlank="1" showInputMessage="1" showErrorMessage="1">
          <x14:formula1>
            <xm:f>'HT-Transport (M3)'!$B$87:$B$88</xm:f>
          </x14:formula1>
          <xm:sqref>C143:D152 U143:V152 AM143:AN152</xm:sqref>
        </x14:dataValidation>
        <x14:dataValidation type="list" allowBlank="1" showInputMessage="1" showErrorMessage="1">
          <x14:formula1>
            <xm:f>'HT-Transport (M3)'!$B$93</xm:f>
          </x14:formula1>
          <xm:sqref>C162:D171 U162:V171 AM162:AN171</xm:sqref>
        </x14:dataValidation>
        <x14:dataValidation type="list" allowBlank="1" showInputMessage="1" showErrorMessage="1">
          <x14:formula1>
            <xm:f>'HT-Transport (M3)'!$B$97:$B$109</xm:f>
          </x14:formula1>
          <xm:sqref>C181:D190 U181:V190 AM181:AN190</xm:sqref>
        </x14:dataValidation>
        <x14:dataValidation type="list" allowBlank="1" showInputMessage="1" showErrorMessage="1">
          <x14:formula1>
            <xm:f>Viited!$B$65:$B$66</xm:f>
          </x14:formula1>
          <xm:sqref>H49:H58 G162:G171 G181:G190 I68:I77 G143:G152 I87:I96 I106:I115 F124:F133 Z49:Z58 Y162:Y171 Y181:Y190 AA68:AA77 Y143:Y152 AA87:AA96 AA106:AA115 X124:X133 AR49:AR58 AQ162:AQ171 AQ181:AQ190 AS68:AS77 AQ143:AQ152 AS87:AS96 AS106:AS115 AP124:AP133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FB5836B143DC4489B22C23BC79EF2DD" ma:contentTypeVersion="16" ma:contentTypeDescription="Loo uus dokument" ma:contentTypeScope="" ma:versionID="875bbe5a6fea108c687714914c9ec0a7">
  <xsd:schema xmlns:xsd="http://www.w3.org/2001/XMLSchema" xmlns:xs="http://www.w3.org/2001/XMLSchema" xmlns:p="http://schemas.microsoft.com/office/2006/metadata/properties" xmlns:ns2="51bd50d0-d8f0-4351-bcc9-bc0089db6ffe" xmlns:ns3="0e000f76-03c3-4a6d-ba20-82435f178b63" targetNamespace="http://schemas.microsoft.com/office/2006/metadata/properties" ma:root="true" ma:fieldsID="33c211fd7babb910d9c5c6579f294d43" ns2:_="" ns3:_="">
    <xsd:import namespace="51bd50d0-d8f0-4351-bcc9-bc0089db6ffe"/>
    <xsd:import namespace="0e000f76-03c3-4a6d-ba20-82435f178b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d50d0-d8f0-4351-bcc9-bc0089db6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Pildisildid" ma:readOnly="false" ma:fieldId="{5cf76f15-5ced-4ddc-b409-7134ff3c332f}" ma:taxonomyMulti="true" ma:sspId="ec5b9f97-a3a9-4673-b973-1f963bf50aa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000f76-03c3-4a6d-ba20-82435f178b63" elementFormDefault="qualified">
    <xsd:import namespace="http://schemas.microsoft.com/office/2006/documentManagement/types"/>
    <xsd:import namespace="http://schemas.microsoft.com/office/infopath/2007/PartnerControls"/>
    <xsd:element name="SharedWithUsers" ma:index="1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Ühiskasutusse andmise üksikasjad" ma:internalName="SharedWithDetails" ma:readOnly="true">
      <xsd:simpleType>
        <xsd:restriction base="dms:Note">
          <xsd:maxLength value="255"/>
        </xsd:restriction>
      </xsd:simpleType>
    </xsd:element>
    <xsd:element name="TaxCatchAll" ma:index="23" nillable="true" ma:displayName="Taxonomy Catch All Column" ma:hidden="true" ma:list="{eb8b964a-4c45-40bb-880e-562ce8cd8a41}" ma:internalName="TaxCatchAll" ma:showField="CatchAllData" ma:web="0e000f76-03c3-4a6d-ba20-82435f178b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d50d0-d8f0-4351-bcc9-bc0089db6ffe">
      <Terms xmlns="http://schemas.microsoft.com/office/infopath/2007/PartnerControls"/>
    </lcf76f155ced4ddcb4097134ff3c332f>
    <TaxCatchAll xmlns="0e000f76-03c3-4a6d-ba20-82435f178b63" xsi:nil="true"/>
  </documentManagement>
</p:properties>
</file>

<file path=customXml/itemProps1.xml><?xml version="1.0" encoding="utf-8"?>
<ds:datastoreItem xmlns:ds="http://schemas.openxmlformats.org/officeDocument/2006/customXml" ds:itemID="{F8937E2E-15BF-4FCA-A41C-3E6F86F7AAE1}">
  <ds:schemaRefs>
    <ds:schemaRef ds:uri="http://schemas.microsoft.com/sharepoint/v3/contenttype/forms"/>
  </ds:schemaRefs>
</ds:datastoreItem>
</file>

<file path=customXml/itemProps2.xml><?xml version="1.0" encoding="utf-8"?>
<ds:datastoreItem xmlns:ds="http://schemas.openxmlformats.org/officeDocument/2006/customXml" ds:itemID="{B45BEFB0-DCA2-4F49-AD2E-81408B560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d50d0-d8f0-4351-bcc9-bc0089db6ffe"/>
    <ds:schemaRef ds:uri="0e000f76-03c3-4a6d-ba20-82435f178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38E0BA-7B9B-4AF9-BD08-D581DFD9956D}">
  <ds:schemaRefs>
    <ds:schemaRef ds:uri="http://purl.org/dc/elements/1.1/"/>
    <ds:schemaRef ds:uri="51bd50d0-d8f0-4351-bcc9-bc0089db6ffe"/>
    <ds:schemaRef ds:uri="http://schemas.microsoft.com/office/infopath/2007/PartnerControls"/>
    <ds:schemaRef ds:uri="http://purl.org/dc/terms/"/>
    <ds:schemaRef ds:uri="http://schemas.microsoft.com/office/2006/metadata/properties"/>
    <ds:schemaRef ds:uri="http://schemas.microsoft.com/office/2006/documentManagement/types"/>
    <ds:schemaRef ds:uri="0e000f76-03c3-4a6d-ba20-82435f178b63"/>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30</vt:i4>
      </vt:variant>
      <vt:variant>
        <vt:lpstr>Nimega vahemikud</vt:lpstr>
      </vt:variant>
      <vt:variant>
        <vt:i4>47</vt:i4>
      </vt:variant>
    </vt:vector>
  </HeadingPairs>
  <TitlesOfParts>
    <vt:vector size="77" baseType="lpstr">
      <vt:lpstr>Sissejuhatus</vt:lpstr>
      <vt:lpstr>Sisukord</vt:lpstr>
      <vt:lpstr>Organisatsioon</vt:lpstr>
      <vt:lpstr>M1-Energia</vt:lpstr>
      <vt:lpstr>M1-Sõidukid</vt:lpstr>
      <vt:lpstr>M1-Hajusheitmed</vt:lpstr>
      <vt:lpstr>M2-Ostetud elektrienergia</vt:lpstr>
      <vt:lpstr>M2-Ostetud soojusenergia</vt:lpstr>
      <vt:lpstr>M3-Transport</vt:lpstr>
      <vt:lpstr>M3-Tööreisid</vt:lpstr>
      <vt:lpstr>M3-Tööle-koju</vt:lpstr>
      <vt:lpstr>M3-Jäätmed</vt:lpstr>
      <vt:lpstr>M3-Ostetud tooted</vt:lpstr>
      <vt:lpstr>M3-Müüdud tooted</vt:lpstr>
      <vt:lpstr>M3-Finantsinvesteeringud</vt:lpstr>
      <vt:lpstr>M3-Sõidukikütused</vt:lpstr>
      <vt:lpstr>TULEMUSED</vt:lpstr>
      <vt:lpstr>HT-Energia (M1, M2)</vt:lpstr>
      <vt:lpstr>HT-Sõidukikütused (M1)</vt:lpstr>
      <vt:lpstr>HT-Hajusheitmed (M1)</vt:lpstr>
      <vt:lpstr>HT-Transport (M3)</vt:lpstr>
      <vt:lpstr>HT-Tööreisid (M3)</vt:lpstr>
      <vt:lpstr>HT-Tööle-koju (M3)</vt:lpstr>
      <vt:lpstr>HT-Jäätmed (M3)</vt:lpstr>
      <vt:lpstr>AR väärtused</vt:lpstr>
      <vt:lpstr>Eriheited</vt:lpstr>
      <vt:lpstr>Viited</vt:lpstr>
      <vt:lpstr>Dropdowns</vt:lpstr>
      <vt:lpstr>Conversions</vt:lpstr>
      <vt:lpstr>Data</vt:lpstr>
      <vt:lpstr>Aviation_Gasoline</vt:lpstr>
      <vt:lpstr>Biodiesel</vt:lpstr>
      <vt:lpstr>CNG</vt:lpstr>
      <vt:lpstr>DEFRA_EC_BT</vt:lpstr>
      <vt:lpstr>Diesel_Fuel</vt:lpstr>
      <vt:lpstr>EC_BT_UK_DEFRA_Air</vt:lpstr>
      <vt:lpstr>EC_BT_UK_DEFRA_Air_RF</vt:lpstr>
      <vt:lpstr>EC_BT_UK_DEFRA_Bus</vt:lpstr>
      <vt:lpstr>EC_BT_UK_DEFRA_Car</vt:lpstr>
      <vt:lpstr>EC_BT_UK_DEFRA_Ferry</vt:lpstr>
      <vt:lpstr>EC_BT_UK_DEFRA_Rail</vt:lpstr>
      <vt:lpstr>EC_BT_US_EPA_Air</vt:lpstr>
      <vt:lpstr>EC_BT_US_EPA_Bus</vt:lpstr>
      <vt:lpstr>EC_BT_US_EPA_Car</vt:lpstr>
      <vt:lpstr>EC_BT_US_EPA_Rail</vt:lpstr>
      <vt:lpstr>Elektrienergia_tootmine</vt:lpstr>
      <vt:lpstr>Ethanol</vt:lpstr>
      <vt:lpstr>Fuel_Source</vt:lpstr>
      <vt:lpstr>Fuel_Source_Dropdown</vt:lpstr>
      <vt:lpstr>Hajusheitmed</vt:lpstr>
      <vt:lpstr>Heat_Steam</vt:lpstr>
      <vt:lpstr>Jet_Fuel</vt:lpstr>
      <vt:lpstr>Location_Based_EF</vt:lpstr>
      <vt:lpstr>Market_Based_EF</vt:lpstr>
      <vt:lpstr>Motor_Gasoline</vt:lpstr>
      <vt:lpstr>Organisatsioon!Mõjuala_1</vt:lpstr>
      <vt:lpstr>Mõjuala_1</vt:lpstr>
      <vt:lpstr>Organisatsioon!Mõjuala_2</vt:lpstr>
      <vt:lpstr>Mõjuala_2</vt:lpstr>
      <vt:lpstr>Mõjuala_3</vt:lpstr>
      <vt:lpstr>Oma_sõidukite_kütused</vt:lpstr>
      <vt:lpstr>'HT-Hajusheitmed (M1)'!Prindiala</vt:lpstr>
      <vt:lpstr>Sissejuhatus!Prindiala</vt:lpstr>
      <vt:lpstr>TULEMUSED!Prindiala</vt:lpstr>
      <vt:lpstr>Scope3_Dropdown</vt:lpstr>
      <vt:lpstr>Soojusenergia_tootmine</vt:lpstr>
      <vt:lpstr>T_D_UK_DEFRA_Air</vt:lpstr>
      <vt:lpstr>T_D_UK_DEFRA_Air_RF</vt:lpstr>
      <vt:lpstr>T_D_UK_DEFRA_Car</vt:lpstr>
      <vt:lpstr>T_D_UK_DEFRA_Ferry</vt:lpstr>
      <vt:lpstr>T_D_UK_DEFRA_Rail</vt:lpstr>
      <vt:lpstr>T_D_US_EPA_Air</vt:lpstr>
      <vt:lpstr>T_D_US_EPA_Car</vt:lpstr>
      <vt:lpstr>T_D_US_EPA_Ferry</vt:lpstr>
      <vt:lpstr>T_D_US_EPA_Rail</vt:lpstr>
      <vt:lpstr>UK_DEFRA</vt:lpstr>
      <vt:lpstr>US_EPA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 Shaikh</dc:creator>
  <cp:keywords/>
  <dc:description/>
  <cp:lastModifiedBy>Laura Remmelgas</cp:lastModifiedBy>
  <cp:revision/>
  <cp:lastPrinted>2022-09-23T08:35:17Z</cp:lastPrinted>
  <dcterms:created xsi:type="dcterms:W3CDTF">2020-03-25T19:32:13Z</dcterms:created>
  <dcterms:modified xsi:type="dcterms:W3CDTF">2022-11-02T12:10:57Z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4b114e3e-63fd-488d-ac24-ac92737d3fac</vt:lpwstr>
  </property>
  <property fmtid="{D5CDD505-2E9C-101B-9397-08002B2CF9AE}" pid="3" name="ContentTypeId">
    <vt:lpwstr>0x0101009FB5836B143DC4489B22C23BC79EF2DD</vt:lpwstr>
  </property>
  <property fmtid="{D5CDD505-2E9C-101B-9397-08002B2CF9AE}" pid="4" name="MediaServiceImageTags">
    <vt:lpwstr/>
  </property>
</Properties>
</file>